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21668\Documents\Panther Den\"/>
    </mc:Choice>
  </mc:AlternateContent>
  <bookViews>
    <workbookView xWindow="0" yWindow="0" windowWidth="20610" windowHeight="12840" firstSheet="1" activeTab="1"/>
  </bookViews>
  <sheets>
    <sheet name="Instructions" sheetId="6" r:id="rId1"/>
    <sheet name="Cover_Page" sheetId="4" r:id="rId2"/>
    <sheet name="Summary" sheetId="3" r:id="rId3"/>
    <sheet name="Project_Budget" sheetId="5" r:id="rId4"/>
    <sheet name="Market_Assumptions" sheetId="2" r:id="rId5"/>
    <sheet name="Financing Summary" sheetId="7" r:id="rId6"/>
  </sheets>
  <definedNames>
    <definedName name="_xlnm.Print_Area" localSheetId="1">Cover_Page!$C$3:$G$58</definedName>
    <definedName name="_xlnm.Print_Area" localSheetId="0">Instructions!$C$3:$G$58</definedName>
    <definedName name="_xlnm.Print_Area" localSheetId="4">Market_Assumptions!$B$2:$O$75</definedName>
    <definedName name="_xlnm.Print_Area" localSheetId="3">Project_Budget!$B$2:$I$63</definedName>
    <definedName name="_xlnm.Print_Area" localSheetId="2">Summary!$C$2:$J$54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5" l="1"/>
  <c r="F11" i="3"/>
  <c r="G17" i="7"/>
  <c r="G12" i="7"/>
  <c r="G22" i="7"/>
  <c r="G24" i="7" s="1"/>
  <c r="L22" i="2"/>
  <c r="E32" i="2"/>
  <c r="E33" i="2" l="1"/>
  <c r="H36" i="2"/>
  <c r="G48" i="7"/>
  <c r="E40" i="2"/>
  <c r="X23" i="2"/>
  <c r="Y23" i="2" s="1"/>
  <c r="Z23" i="2" s="1"/>
  <c r="AA23" i="2" s="1"/>
  <c r="AB23" i="2" s="1"/>
  <c r="AC23" i="2" s="1"/>
  <c r="AD23" i="2" s="1"/>
  <c r="AE23" i="2" s="1"/>
  <c r="AF23" i="2" s="1"/>
  <c r="AG23" i="2" s="1"/>
  <c r="X22" i="2"/>
  <c r="Y22" i="2" s="1"/>
  <c r="Z22" i="2" s="1"/>
  <c r="X14" i="2"/>
  <c r="Y14" i="2" s="1"/>
  <c r="Z14" i="2" s="1"/>
  <c r="AA14" i="2" s="1"/>
  <c r="AB14" i="2" s="1"/>
  <c r="X13" i="2"/>
  <c r="Y13" i="2" s="1"/>
  <c r="X12" i="2"/>
  <c r="Y12" i="2" s="1"/>
  <c r="Z12" i="2" s="1"/>
  <c r="AA12" i="2" s="1"/>
  <c r="AB12" i="2" s="1"/>
  <c r="H13" i="2"/>
  <c r="D5" i="4"/>
  <c r="W12" i="2" l="1"/>
  <c r="N12" i="2" s="1"/>
  <c r="W23" i="2"/>
  <c r="AA22" i="2"/>
  <c r="AB22" i="2" s="1"/>
  <c r="AC22" i="2" s="1"/>
  <c r="AD22" i="2" s="1"/>
  <c r="AE22" i="2" s="1"/>
  <c r="AF22" i="2" s="1"/>
  <c r="AG22" i="2" s="1"/>
  <c r="W22" i="2"/>
  <c r="N22" i="2" s="1"/>
  <c r="Z13" i="2"/>
  <c r="AA13" i="2" s="1"/>
  <c r="AB13" i="2" s="1"/>
  <c r="W14" i="2"/>
  <c r="G36" i="2"/>
  <c r="H65" i="2" s="1"/>
  <c r="I33" i="2"/>
  <c r="I34" i="2"/>
  <c r="I35" i="2"/>
  <c r="I32" i="2"/>
  <c r="W13" i="2" l="1"/>
  <c r="I67" i="2"/>
  <c r="I36" i="2"/>
  <c r="I66" i="2" l="1"/>
  <c r="H66" i="2" s="1"/>
  <c r="G24" i="3"/>
  <c r="G67" i="2"/>
  <c r="C41" i="3"/>
  <c r="C33" i="3"/>
  <c r="C24" i="3"/>
  <c r="I40" i="2" l="1"/>
  <c r="G42" i="7" l="1"/>
  <c r="F57" i="7" l="1"/>
  <c r="F58" i="7" s="1"/>
  <c r="I51" i="2"/>
  <c r="D6" i="5"/>
  <c r="E12" i="5" s="1"/>
  <c r="D6" i="7"/>
  <c r="D4" i="7"/>
  <c r="D3" i="7"/>
  <c r="H12" i="5" l="1"/>
  <c r="G13" i="5" s="1"/>
  <c r="H40" i="5"/>
  <c r="H21" i="5" l="1"/>
  <c r="H25" i="5" l="1"/>
  <c r="H39" i="5"/>
  <c r="H38" i="5"/>
  <c r="H37" i="5"/>
  <c r="C13" i="5" l="1"/>
  <c r="G33" i="3" l="1"/>
  <c r="G32" i="3"/>
  <c r="G31" i="3"/>
  <c r="C30" i="3"/>
  <c r="I58" i="2"/>
  <c r="C63" i="2"/>
  <c r="E36" i="2"/>
  <c r="C33" i="2"/>
  <c r="C34" i="2" s="1"/>
  <c r="C35" i="2" s="1"/>
  <c r="G29" i="3" l="1"/>
  <c r="H58" i="2"/>
  <c r="E50" i="5"/>
  <c r="F24" i="3"/>
  <c r="G41" i="3"/>
  <c r="C28" i="3"/>
  <c r="C29" i="3"/>
  <c r="F52" i="3" l="1"/>
  <c r="G52" i="3" s="1"/>
  <c r="H52" i="3" s="1"/>
  <c r="I52" i="3" s="1"/>
  <c r="J52" i="3" s="1"/>
  <c r="D3" i="2"/>
  <c r="D4" i="2"/>
  <c r="D6" i="2"/>
  <c r="H12" i="2"/>
  <c r="L12" i="2"/>
  <c r="C13" i="2"/>
  <c r="C14" i="2" s="1"/>
  <c r="C15" i="2" s="1"/>
  <c r="C16" i="2" s="1"/>
  <c r="C17" i="2" s="1"/>
  <c r="L13" i="2"/>
  <c r="M13" i="2"/>
  <c r="H14" i="2"/>
  <c r="L14" i="2"/>
  <c r="H15" i="2"/>
  <c r="L15" i="2"/>
  <c r="H16" i="2"/>
  <c r="L16" i="2"/>
  <c r="H17" i="2"/>
  <c r="L17" i="2"/>
  <c r="E18" i="2"/>
  <c r="D21" i="2"/>
  <c r="D31" i="2" s="1"/>
  <c r="E21" i="2"/>
  <c r="E31" i="2" s="1"/>
  <c r="F21" i="2"/>
  <c r="G21" i="2"/>
  <c r="G31" i="2" s="1"/>
  <c r="H21" i="2"/>
  <c r="I21" i="2"/>
  <c r="J21" i="2"/>
  <c r="K21" i="2"/>
  <c r="L21" i="2"/>
  <c r="M21" i="2"/>
  <c r="N21" i="2"/>
  <c r="H22" i="2"/>
  <c r="C23" i="2"/>
  <c r="C24" i="2" s="1"/>
  <c r="C25" i="2" s="1"/>
  <c r="C26" i="2" s="1"/>
  <c r="C27" i="2" s="1"/>
  <c r="H23" i="2"/>
  <c r="L23" i="2"/>
  <c r="M23" i="2"/>
  <c r="H24" i="2"/>
  <c r="L24" i="2"/>
  <c r="H25" i="2"/>
  <c r="L25" i="2"/>
  <c r="H26" i="2"/>
  <c r="L26" i="2"/>
  <c r="H27" i="2"/>
  <c r="L27" i="2"/>
  <c r="E28" i="2"/>
  <c r="G42" i="2"/>
  <c r="C49" i="2"/>
  <c r="G28" i="3"/>
  <c r="C56" i="2"/>
  <c r="J57" i="2"/>
  <c r="J64" i="2" s="1"/>
  <c r="C69" i="2"/>
  <c r="D3" i="5"/>
  <c r="D4" i="5"/>
  <c r="H13" i="5"/>
  <c r="C19" i="5"/>
  <c r="C20" i="5" s="1"/>
  <c r="C21" i="5" s="1"/>
  <c r="C22" i="5" s="1"/>
  <c r="C23" i="5" s="1"/>
  <c r="C24" i="5" s="1"/>
  <c r="C25" i="5" s="1"/>
  <c r="H33" i="5"/>
  <c r="C34" i="5"/>
  <c r="C35" i="5" s="1"/>
  <c r="C36" i="5" s="1"/>
  <c r="C37" i="5" s="1"/>
  <c r="C38" i="5" s="1"/>
  <c r="C39" i="5" s="1"/>
  <c r="C40" i="5" s="1"/>
  <c r="C41" i="5" s="1"/>
  <c r="H34" i="5"/>
  <c r="H35" i="5"/>
  <c r="H36" i="5"/>
  <c r="H50" i="5"/>
  <c r="C56" i="5"/>
  <c r="C57" i="5" s="1"/>
  <c r="C58" i="5" s="1"/>
  <c r="C59" i="5" s="1"/>
  <c r="H56" i="5"/>
  <c r="H57" i="5"/>
  <c r="H58" i="5"/>
  <c r="H59" i="5"/>
  <c r="F62" i="5"/>
  <c r="D3" i="3"/>
  <c r="D4" i="3"/>
  <c r="D6" i="3"/>
  <c r="C22" i="3"/>
  <c r="C23" i="3"/>
  <c r="C25" i="3"/>
  <c r="C31" i="3"/>
  <c r="C32" i="3"/>
  <c r="C34" i="3"/>
  <c r="C39" i="3"/>
  <c r="C40" i="3"/>
  <c r="C42" i="3"/>
  <c r="M24" i="2" l="1"/>
  <c r="M25" i="2" s="1"/>
  <c r="M26" i="2" s="1"/>
  <c r="M27" i="2" s="1"/>
  <c r="N23" i="2"/>
  <c r="M14" i="2"/>
  <c r="N13" i="2"/>
  <c r="E41" i="5"/>
  <c r="H41" i="5" s="1"/>
  <c r="H42" i="5" s="1"/>
  <c r="E55" i="5"/>
  <c r="H59" i="2"/>
  <c r="E48" i="5"/>
  <c r="H48" i="5" s="1"/>
  <c r="E46" i="5"/>
  <c r="I39" i="2"/>
  <c r="L18" i="2"/>
  <c r="H52" i="2"/>
  <c r="E49" i="5"/>
  <c r="H49" i="5" s="1"/>
  <c r="G34" i="3"/>
  <c r="J70" i="2"/>
  <c r="I54" i="2"/>
  <c r="I61" i="2"/>
  <c r="I53" i="2"/>
  <c r="G39" i="3" s="1"/>
  <c r="H18" i="2"/>
  <c r="H28" i="2"/>
  <c r="G23" i="3" s="1"/>
  <c r="L28" i="2"/>
  <c r="I60" i="2"/>
  <c r="I73" i="2"/>
  <c r="I42" i="2"/>
  <c r="E42" i="2"/>
  <c r="E47" i="5" s="1"/>
  <c r="M15" i="2" l="1"/>
  <c r="N14" i="2"/>
  <c r="E44" i="2"/>
  <c r="D6" i="4" s="1"/>
  <c r="D5" i="7" s="1"/>
  <c r="L44" i="2"/>
  <c r="H46" i="5" s="1"/>
  <c r="E24" i="5"/>
  <c r="H24" i="5" s="1"/>
  <c r="H44" i="2"/>
  <c r="H47" i="5"/>
  <c r="G53" i="2"/>
  <c r="G13" i="3"/>
  <c r="H14" i="5"/>
  <c r="G43" i="3"/>
  <c r="G22" i="3"/>
  <c r="G52" i="2"/>
  <c r="G59" i="2"/>
  <c r="G61" i="2"/>
  <c r="G54" i="2"/>
  <c r="G25" i="3"/>
  <c r="G40" i="3"/>
  <c r="G60" i="2"/>
  <c r="H71" i="2"/>
  <c r="I72" i="2"/>
  <c r="G73" i="2"/>
  <c r="M16" i="2" l="1"/>
  <c r="M17" i="2" s="1"/>
  <c r="N15" i="2"/>
  <c r="E62" i="5"/>
  <c r="G42" i="3"/>
  <c r="H72" i="2"/>
  <c r="G11" i="3"/>
  <c r="G35" i="3"/>
  <c r="A35" i="3" s="1"/>
  <c r="D5" i="2"/>
  <c r="D5" i="5"/>
  <c r="E19" i="5" s="1"/>
  <c r="H19" i="5" s="1"/>
  <c r="D5" i="3"/>
  <c r="G26" i="3"/>
  <c r="A26" i="3" s="1"/>
  <c r="E22" i="5" l="1"/>
  <c r="H22" i="5" s="1"/>
  <c r="E18" i="5"/>
  <c r="H18" i="5" s="1"/>
  <c r="G15" i="7"/>
  <c r="F41" i="3"/>
  <c r="F34" i="3"/>
  <c r="F30" i="3"/>
  <c r="F33" i="3"/>
  <c r="F32" i="3"/>
  <c r="F31" i="3"/>
  <c r="F43" i="3"/>
  <c r="F26" i="3"/>
  <c r="F25" i="3"/>
  <c r="F29" i="3"/>
  <c r="F22" i="3"/>
  <c r="F39" i="3"/>
  <c r="F13" i="3"/>
  <c r="F23" i="3"/>
  <c r="F28" i="3"/>
  <c r="F40" i="3"/>
  <c r="F35" i="3"/>
  <c r="G37" i="3"/>
  <c r="F37" i="3" s="1"/>
  <c r="F42" i="3"/>
  <c r="G44" i="3"/>
  <c r="G46" i="3" l="1"/>
  <c r="E51" i="3" s="1"/>
  <c r="G16" i="7"/>
  <c r="F44" i="3"/>
  <c r="E53" i="3" l="1"/>
  <c r="G43" i="7"/>
  <c r="F46" i="3"/>
  <c r="F51" i="3" l="1"/>
  <c r="F53" i="3" s="1"/>
  <c r="F53" i="7"/>
  <c r="F60" i="7" s="1"/>
  <c r="G46" i="7"/>
  <c r="G51" i="3" l="1"/>
  <c r="G53" i="3" s="1"/>
  <c r="H51" i="3" l="1"/>
  <c r="I51" i="3" s="1"/>
  <c r="I53" i="3" s="1"/>
  <c r="J51" i="3" l="1"/>
  <c r="J53" i="3" s="1"/>
  <c r="H53" i="3"/>
  <c r="N24" i="2" l="1"/>
  <c r="N25" i="2"/>
  <c r="N26" i="2"/>
  <c r="N16" i="2"/>
  <c r="N17" i="2"/>
  <c r="N27" i="2"/>
  <c r="N28" i="2" l="1"/>
  <c r="N18" i="2"/>
  <c r="N44" i="2" l="1"/>
  <c r="H55" i="5" s="1"/>
  <c r="G55" i="5" s="1"/>
  <c r="H60" i="5" l="1"/>
  <c r="G15" i="3" l="1"/>
  <c r="F15" i="3" l="1"/>
  <c r="H51" i="5" l="1"/>
  <c r="H20" i="5" l="1"/>
  <c r="E23" i="5"/>
  <c r="H23" i="5" s="1"/>
  <c r="E28" i="5" s="1"/>
  <c r="G14" i="3"/>
  <c r="F14" i="3" s="1"/>
  <c r="H28" i="5" l="1"/>
  <c r="H29" i="5" s="1"/>
  <c r="H62" i="5" s="1"/>
  <c r="G62" i="5" s="1"/>
  <c r="G13" i="7"/>
  <c r="G12" i="3" l="1"/>
  <c r="F12" i="3" s="1"/>
  <c r="G29" i="5"/>
  <c r="G17" i="3" l="1"/>
  <c r="F17" i="3" s="1"/>
  <c r="A17" i="3" l="1"/>
  <c r="G47" i="3"/>
  <c r="G11" i="7"/>
  <c r="G44" i="7" l="1"/>
  <c r="G26" i="7"/>
  <c r="G33" i="7" l="1"/>
  <c r="G31" i="7" s="1"/>
  <c r="G32" i="7" s="1"/>
  <c r="P23" i="5" l="1"/>
  <c r="P29" i="5" s="1"/>
  <c r="F62" i="7"/>
  <c r="G37" i="7"/>
  <c r="G47" i="7"/>
  <c r="G45" i="7"/>
  <c r="AH27" i="5" l="1"/>
  <c r="Q28" i="5"/>
  <c r="P22" i="5"/>
  <c r="AD27" i="5"/>
  <c r="AE27" i="5"/>
  <c r="AG27" i="5"/>
  <c r="T27" i="5"/>
  <c r="AB27" i="5"/>
  <c r="S27" i="5"/>
  <c r="Z27" i="5"/>
  <c r="R27" i="5"/>
  <c r="Y27" i="5"/>
  <c r="U27" i="5"/>
  <c r="AF27" i="5"/>
  <c r="V27" i="5"/>
  <c r="AA27" i="5"/>
  <c r="X27" i="5"/>
  <c r="Q27" i="5"/>
  <c r="AC27" i="5"/>
  <c r="W27" i="5"/>
  <c r="Q29" i="5" l="1"/>
  <c r="R28" i="5" s="1"/>
  <c r="R29" i="5" s="1"/>
  <c r="S28" i="5" s="1"/>
  <c r="S29" i="5" s="1"/>
  <c r="T28" i="5" l="1"/>
  <c r="T29" i="5" s="1"/>
  <c r="U28" i="5" s="1"/>
  <c r="U29" i="5" s="1"/>
  <c r="V28" i="5" s="1"/>
  <c r="V29" i="5" l="1"/>
  <c r="W28" i="5" s="1"/>
  <c r="W29" i="5" l="1"/>
  <c r="X28" i="5" s="1"/>
  <c r="X29" i="5" l="1"/>
  <c r="Y28" i="5" s="1"/>
  <c r="Y29" i="5" l="1"/>
  <c r="Z28" i="5" s="1"/>
  <c r="Z29" i="5" l="1"/>
  <c r="AA28" i="5" s="1"/>
  <c r="AA29" i="5" l="1"/>
  <c r="AB28" i="5" s="1"/>
  <c r="AB29" i="5" l="1"/>
  <c r="AC28" i="5" s="1"/>
  <c r="AC29" i="5" l="1"/>
  <c r="AD28" i="5" s="1"/>
  <c r="AD29" i="5" l="1"/>
  <c r="AE28" i="5" s="1"/>
  <c r="AE29" i="5" l="1"/>
  <c r="AF28" i="5" s="1"/>
  <c r="AF29" i="5" l="1"/>
  <c r="AG28" i="5" s="1"/>
  <c r="AG29" i="5" l="1"/>
  <c r="P28" i="5"/>
  <c r="AH28" i="5" l="1"/>
  <c r="AH29" i="5" s="1"/>
</calcChain>
</file>

<file path=xl/sharedStrings.xml><?xml version="1.0" encoding="utf-8"?>
<sst xmlns="http://schemas.openxmlformats.org/spreadsheetml/2006/main" count="413" uniqueCount="252">
  <si>
    <t>Project:</t>
  </si>
  <si>
    <t>Panther Den Competition (REC of GFW)</t>
  </si>
  <si>
    <t>Team:</t>
  </si>
  <si>
    <t>Enter Team Name Here</t>
  </si>
  <si>
    <t>Date:</t>
  </si>
  <si>
    <t>Total SF:</t>
  </si>
  <si>
    <t>Total AC:</t>
  </si>
  <si>
    <t>SOFT COSTS</t>
  </si>
  <si>
    <t>DESCRIPTION / SCOPE</t>
  </si>
  <si>
    <t>UNITS</t>
  </si>
  <si>
    <t>UNIT PRICE</t>
  </si>
  <si>
    <t>TOTAL PRICE</t>
  </si>
  <si>
    <t>Do not delete</t>
  </si>
  <si>
    <t>SF</t>
  </si>
  <si>
    <t>Acres</t>
  </si>
  <si>
    <t>n/a</t>
  </si>
  <si>
    <t>SUBTOTAL</t>
  </si>
  <si>
    <t>ITEM</t>
  </si>
  <si>
    <t>OTHER / MISCELLANEOUS COSTS</t>
  </si>
  <si>
    <t>TOTAL PROJECT BUDGET</t>
  </si>
  <si>
    <t>PROJECT BUDGET</t>
  </si>
  <si>
    <t>SITE WORK</t>
  </si>
  <si>
    <t>Retail / Entertainment</t>
  </si>
  <si>
    <t>Office</t>
  </si>
  <si>
    <t>DESCRIPTION</t>
  </si>
  <si>
    <t>Stabilized Market Assumptions</t>
  </si>
  <si>
    <t>RENT PSF</t>
  </si>
  <si>
    <t>YR 1 RENT</t>
  </si>
  <si>
    <t>TERM</t>
  </si>
  <si>
    <t>TOTALS</t>
  </si>
  <si>
    <t>TI PSF</t>
  </si>
  <si>
    <t>TOTAL TI</t>
  </si>
  <si>
    <t>RENT GROWTH</t>
  </si>
  <si>
    <t>None</t>
  </si>
  <si>
    <t>10% in Yr 6</t>
  </si>
  <si>
    <t>2% / Yr</t>
  </si>
  <si>
    <t>Total Rent</t>
  </si>
  <si>
    <t>Assumes a 10% bump in rent in years 6, 11, and 16 (if lease is that long)</t>
  </si>
  <si>
    <t>Tenant Improvements (pulls from assumptions tab)</t>
  </si>
  <si>
    <t>Leasing Commissions (pulls from assumptions tab)</t>
  </si>
  <si>
    <t>TYPE OF LEASE</t>
  </si>
  <si>
    <t>NNN</t>
  </si>
  <si>
    <t>Assumes all expenses are paid by tenant</t>
  </si>
  <si>
    <t>Gross</t>
  </si>
  <si>
    <t>Assumes no expenses are paid by tenant (tenant would be billed electric directly)</t>
  </si>
  <si>
    <t>Soft Costs</t>
  </si>
  <si>
    <t>Site Work</t>
  </si>
  <si>
    <t>Other / Miscellaneous Costs</t>
  </si>
  <si>
    <t>Total Rental Revenue</t>
  </si>
  <si>
    <t>Stabilized Operating Assumptions</t>
  </si>
  <si>
    <t>Expenses</t>
  </si>
  <si>
    <t>Capital Reserve</t>
  </si>
  <si>
    <t>Other Income (parking, advertising, etc.)</t>
  </si>
  <si>
    <t>PSF</t>
  </si>
  <si>
    <t>ANNUAL AMOUNT</t>
  </si>
  <si>
    <t>% of YR 1 REV</t>
  </si>
  <si>
    <t>Total Other Income</t>
  </si>
  <si>
    <t>Gross Potential Income</t>
  </si>
  <si>
    <t>Amount</t>
  </si>
  <si>
    <t>PROJECTED STABILIZED YEAR 1 CASH FLOW</t>
  </si>
  <si>
    <t>Capital Reserves</t>
  </si>
  <si>
    <t>STABILIZED YEAR 1 NET OPERATING INCOME</t>
  </si>
  <si>
    <t>Expenses (% of year 1 total revenue)</t>
  </si>
  <si>
    <t>Projected Expense Reimbursements</t>
  </si>
  <si>
    <t>NOTES / ASSUMPTIONS</t>
  </si>
  <si>
    <t>Stab. Yr. 1 Yield on Total Project Costs</t>
  </si>
  <si>
    <t>HIGH LEVEL PROJECT VALUATION SENSITIVITY</t>
  </si>
  <si>
    <t>Based on lease assumptions entered above</t>
  </si>
  <si>
    <t>&lt; pulls from market assumptions tab</t>
  </si>
  <si>
    <t>Notes / Comments</t>
  </si>
  <si>
    <t>LEASING COMM.</t>
  </si>
  <si>
    <t>TOTAL COMM.</t>
  </si>
  <si>
    <t>Stabilized NOI</t>
  </si>
  <si>
    <t>Assumed Cap Rate</t>
  </si>
  <si>
    <t>Market Valuation</t>
  </si>
  <si>
    <t>General Model Notes:</t>
  </si>
  <si>
    <t>Aspects Not Considered</t>
  </si>
  <si>
    <t>In This Model:</t>
  </si>
  <si>
    <t>- Blue is an input</t>
  </si>
  <si>
    <t>- Black is formula</t>
  </si>
  <si>
    <t>- Green is linked to another cell within the model</t>
  </si>
  <si>
    <t xml:space="preserve">- See the model notes in the yellow boxes on each tab for a description of the tab (each notes </t>
  </si>
  <si>
    <t>section is outside the print area on the right side of each tab)</t>
  </si>
  <si>
    <t>- Hold period &amp; projected sale at end of hold period (IRR metric not used)</t>
  </si>
  <si>
    <t>- Enter team name above</t>
  </si>
  <si>
    <t>Team Members:</t>
  </si>
  <si>
    <t>(1)</t>
  </si>
  <si>
    <t>(2)</t>
  </si>
  <si>
    <t>(3)</t>
  </si>
  <si>
    <t>(4)</t>
  </si>
  <si>
    <t>(5)</t>
  </si>
  <si>
    <t>(6)</t>
  </si>
  <si>
    <t>Name 1</t>
  </si>
  <si>
    <t>Name 2</t>
  </si>
  <si>
    <t>Name 3</t>
  </si>
  <si>
    <t>Name 4</t>
  </si>
  <si>
    <t>Name 5</t>
  </si>
  <si>
    <t>Name 6</t>
  </si>
  <si>
    <t>- Enter team member names above</t>
  </si>
  <si>
    <t>- Enter total acreage for project above (total SF is linked to the assumptions tab based on how</t>
  </si>
  <si>
    <t>much SF your group decides to build</t>
  </si>
  <si>
    <t>- ALL NUMBERS AND NOTES IN THE MODEL CURRENTLY ARE EXAMPLES TO GET YOU STARTED</t>
  </si>
  <si>
    <t>- Projected development timeline and projected lease-up period</t>
  </si>
  <si>
    <t>Executive Summary:</t>
  </si>
  <si>
    <t>Enter Executive Summary Here</t>
  </si>
  <si>
    <t>- Construction or Permanent Financing (ROE metric not used)</t>
  </si>
  <si>
    <t xml:space="preserve">- Because the model does not factor in financing, a development timeline, lease-up, or hold </t>
  </si>
  <si>
    <t xml:space="preserve">period, it does not consider down time during lease-up, inflation or growth over time of </t>
  </si>
  <si>
    <t>expenses, interest only debt during construction, a refinance into permanent debt, etc.</t>
  </si>
  <si>
    <t>Total Expenses</t>
  </si>
  <si>
    <t>Land Acquisition</t>
  </si>
  <si>
    <t>LAND ACQUISITION</t>
  </si>
  <si>
    <t>Closing Costs</t>
  </si>
  <si>
    <t xml:space="preserve">Land Acquisition </t>
  </si>
  <si>
    <t>Architect &amp; Engineer</t>
  </si>
  <si>
    <t>Developer Fee</t>
  </si>
  <si>
    <t>LS</t>
  </si>
  <si>
    <t>BUILDING COSTS</t>
  </si>
  <si>
    <t>Building Costs</t>
  </si>
  <si>
    <t>%</t>
  </si>
  <si>
    <t>Permits &amp; Fees</t>
  </si>
  <si>
    <t>Contingency</t>
  </si>
  <si>
    <t>Range</t>
  </si>
  <si>
    <t>5%-10% of Soft Costs</t>
  </si>
  <si>
    <t>$4.50 - $6.50</t>
  </si>
  <si>
    <t>Environmental</t>
  </si>
  <si>
    <t>Demolish and Remove Existing Pavement</t>
  </si>
  <si>
    <t>Proposed 6" Concrete Pavement (Parking, Sidewalks, etc.)</t>
  </si>
  <si>
    <t>Earthwork</t>
  </si>
  <si>
    <t>Storm Drainage System</t>
  </si>
  <si>
    <t>Water, Sanitary Sewer, Dry Utilities</t>
  </si>
  <si>
    <t>EA</t>
  </si>
  <si>
    <t>SY</t>
  </si>
  <si>
    <t>CY</t>
  </si>
  <si>
    <t>LF</t>
  </si>
  <si>
    <t>Typically 1/2 the unit price of new pavement</t>
  </si>
  <si>
    <t>Ranges $50-75 per SY.</t>
  </si>
  <si>
    <t>$5-10 per CY.</t>
  </si>
  <si>
    <t>$60-200</t>
  </si>
  <si>
    <t>$80-120</t>
  </si>
  <si>
    <t>Misc. (Landscaping, Retaining Walls, Erosion Control)</t>
  </si>
  <si>
    <t>Building Shell - Office</t>
  </si>
  <si>
    <t>Class A</t>
  </si>
  <si>
    <t>Class B</t>
  </si>
  <si>
    <t>Class C</t>
  </si>
  <si>
    <t>$30-40</t>
  </si>
  <si>
    <t>$20-30</t>
  </si>
  <si>
    <t>$10-20</t>
  </si>
  <si>
    <t>$25-35</t>
  </si>
  <si>
    <t>$18-24</t>
  </si>
  <si>
    <t>$12-18</t>
  </si>
  <si>
    <t>General Rent Rate Ranges</t>
  </si>
  <si>
    <t>Lease Type</t>
  </si>
  <si>
    <t>AVG SF</t>
  </si>
  <si>
    <t>ASSUMPTIONS</t>
  </si>
  <si>
    <t>Definitions:</t>
  </si>
  <si>
    <t>SF - Square Foot</t>
  </si>
  <si>
    <t>Term - Length of Lease</t>
  </si>
  <si>
    <t>Type of Lease - NNN ()  Gross ()</t>
  </si>
  <si>
    <t>TI PSF - Tenant Improvements per square foot</t>
  </si>
  <si>
    <t>&lt;&lt;&lt; Adjust cap rate range as needed.</t>
  </si>
  <si>
    <t>$7-12 (Industrial vs. Multi-Family)</t>
  </si>
  <si>
    <t>1-2%</t>
  </si>
  <si>
    <t>QUANTITY</t>
  </si>
  <si>
    <t>Environmental Mitigation</t>
  </si>
  <si>
    <t>Building Shell - Retail / Entertainment</t>
  </si>
  <si>
    <t>Total Bldg SF:</t>
  </si>
  <si>
    <t>Total Site AC:</t>
  </si>
  <si>
    <t>$150k to $650k depending on intensity of LS and topo.</t>
  </si>
  <si>
    <t>$5K for Phase 1 only.  $30 for Phase 2.</t>
  </si>
  <si>
    <t>Based on site-specific findings.</t>
  </si>
  <si>
    <t>PROJECT STABILIZED ECONOMICS</t>
  </si>
  <si>
    <t>Vacancy at Stabilization</t>
  </si>
  <si>
    <t>Project NOI at Stabilization</t>
  </si>
  <si>
    <t>Yield to Cost</t>
  </si>
  <si>
    <t>Yield to BANK Debt</t>
  </si>
  <si>
    <t>PROJECT COST SUMMARY</t>
  </si>
  <si>
    <t>Total Project Cost</t>
  </si>
  <si>
    <t>Total Cost PSF</t>
  </si>
  <si>
    <t>Hard Cost PSF</t>
  </si>
  <si>
    <t>Total Land Cost</t>
  </si>
  <si>
    <t>Land Cost PSF</t>
  </si>
  <si>
    <t>Land Cost Per Buildable SF</t>
  </si>
  <si>
    <t>Loan Amount</t>
  </si>
  <si>
    <t>Loan PSF</t>
  </si>
  <si>
    <t>Loan to Cost</t>
  </si>
  <si>
    <t>Interest Rate</t>
  </si>
  <si>
    <t>Amortization Period (Years)</t>
  </si>
  <si>
    <t>Debt Service Coverage Ratio (P&amp;I)</t>
  </si>
  <si>
    <t>EQUITY SUMMARY</t>
  </si>
  <si>
    <t>Cash</t>
  </si>
  <si>
    <t>Land Cost</t>
  </si>
  <si>
    <t>Total Equity Contributed</t>
  </si>
  <si>
    <t>Total Percentage of Equity to Cost</t>
  </si>
  <si>
    <t>Projected Value (Direct CAP of NOI)</t>
  </si>
  <si>
    <t>Projected LTV  (Direct CAP of NOI)</t>
  </si>
  <si>
    <t>CAP Rate Assumed</t>
  </si>
  <si>
    <t>PERMANENT MORTGAGE TAKEOUT ANALYSIS</t>
  </si>
  <si>
    <t>Required DSCR</t>
  </si>
  <si>
    <t>INTERIM BANK DEBT SUMMARY</t>
  </si>
  <si>
    <t>Mortgage Constant</t>
  </si>
  <si>
    <t>Mortgage Constant Coverage</t>
  </si>
  <si>
    <t>Permanent Loan Amount</t>
  </si>
  <si>
    <t>Surplus/(Gap) on Interim Loan Amount</t>
  </si>
  <si>
    <t>Legal and Accounting</t>
  </si>
  <si>
    <t>Taxes</t>
  </si>
  <si>
    <t>Insurance</t>
  </si>
  <si>
    <t>Marketing and Admnistrative</t>
  </si>
  <si>
    <t>Lift Station, Offsite Water, Offsite Sanitary Sewer</t>
  </si>
  <si>
    <t>Should be at least 25% equity</t>
  </si>
  <si>
    <t># ROOMS</t>
  </si>
  <si>
    <t>REV per ROOM</t>
  </si>
  <si>
    <t>Hospitality</t>
  </si>
  <si>
    <t>Building Shell - Hospitality including FF&amp;E</t>
  </si>
  <si>
    <t>All Rooms</t>
  </si>
  <si>
    <t>PER ROOM</t>
  </si>
  <si>
    <t>Nightly</t>
  </si>
  <si>
    <t>$75- 100</t>
  </si>
  <si>
    <t>$125-150</t>
  </si>
  <si>
    <t>$150-200</t>
  </si>
  <si>
    <t>include in presentation</t>
  </si>
  <si>
    <t>Hotel Retail</t>
  </si>
  <si>
    <t>Multi-Family</t>
  </si>
  <si>
    <t>Rent PSF</t>
  </si>
  <si>
    <t>PER UNIT</t>
  </si>
  <si>
    <t>Annual</t>
  </si>
  <si>
    <t>$1.85-2.00</t>
  </si>
  <si>
    <t>N/A</t>
  </si>
  <si>
    <t>Office Retail</t>
  </si>
  <si>
    <t>1BR / 1BA</t>
  </si>
  <si>
    <t>2BR / 2BA</t>
  </si>
  <si>
    <t>MF Retail</t>
  </si>
  <si>
    <t>$1,000,000-$1,500,000</t>
  </si>
  <si>
    <t>$100,000 - $250,000</t>
  </si>
  <si>
    <t>$1-$2</t>
  </si>
  <si>
    <t>Building Shell - Multi-Family including FF&amp;E</t>
  </si>
  <si>
    <t>1%-3% of Hard Costs</t>
  </si>
  <si>
    <t>Construction Loan Interest Carry</t>
  </si>
  <si>
    <t>Construction Loan Origination Fee</t>
  </si>
  <si>
    <t>50 bps of loan amount</t>
  </si>
  <si>
    <t>Loan Origination Fee</t>
  </si>
  <si>
    <t>Total Loan Interest</t>
  </si>
  <si>
    <t>Months</t>
  </si>
  <si>
    <t>Funding Months</t>
  </si>
  <si>
    <t xml:space="preserve">5-10% for Final Design. </t>
  </si>
  <si>
    <t>Interest through Month 18 when space begins delivery</t>
  </si>
  <si>
    <t>Office Building</t>
  </si>
  <si>
    <t>Office/Industrial</t>
  </si>
  <si>
    <t>Office/Warehouse</t>
  </si>
  <si>
    <t>Distribution Center</t>
  </si>
  <si>
    <t>Industrial</t>
  </si>
  <si>
    <t>$5.75-6.00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</si>
</sst>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AC&quot;"/>
    <numFmt numFmtId="165" formatCode="_(&quot;$&quot;* #,##0_);_(&quot;$&quot;* \(#,##0\);_(&quot;$&quot;* &quot;-&quot;??_);_(@_)"/>
    <numFmt numFmtId="166" formatCode="_(* #,##0_);_(* \(#,##0\);_(* &quot;-&quot;??_);_(@_)"/>
    <numFmt numFmtId="167" formatCode="0\ &quot;yrs&quot;"/>
    <numFmt numFmtId="168" formatCode="0.0%"/>
    <numFmt numFmtId="169" formatCode="0\ &quot;units&quot;"/>
    <numFmt numFmtId="170" formatCode="#,##0\ &quot;SF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66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8">
    <xf numFmtId="0" fontId="0" fillId="0" borderId="0" xfId="0"/>
    <xf numFmtId="0" fontId="2" fillId="2" borderId="0" xfId="4" applyFont="1" applyFill="1" applyBorder="1" applyAlignment="1" applyProtection="1">
      <alignment vertical="center"/>
    </xf>
    <xf numFmtId="0" fontId="3" fillId="2" borderId="0" xfId="4" applyFont="1" applyFill="1" applyBorder="1" applyAlignment="1" applyProtection="1">
      <alignment vertical="center"/>
    </xf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center"/>
    </xf>
    <xf numFmtId="14" fontId="10" fillId="2" borderId="0" xfId="4" applyNumberFormat="1" applyFont="1" applyFill="1" applyBorder="1" applyAlignment="1" applyProtection="1">
      <alignment horizontal="left" vertical="center"/>
    </xf>
    <xf numFmtId="164" fontId="17" fillId="2" borderId="0" xfId="5" applyNumberFormat="1" applyFont="1" applyFill="1" applyBorder="1" applyAlignment="1" applyProtection="1">
      <alignment horizontal="left" vertical="center"/>
    </xf>
    <xf numFmtId="0" fontId="9" fillId="2" borderId="0" xfId="0" applyFont="1" applyFill="1" applyProtection="1"/>
    <xf numFmtId="0" fontId="10" fillId="2" borderId="0" xfId="4" applyFont="1" applyFill="1" applyBorder="1" applyAlignment="1" applyProtection="1">
      <alignment vertical="center"/>
    </xf>
    <xf numFmtId="0" fontId="6" fillId="2" borderId="4" xfId="4" applyFont="1" applyFill="1" applyBorder="1" applyAlignment="1" applyProtection="1">
      <alignment horizontal="center" vertical="center"/>
    </xf>
    <xf numFmtId="0" fontId="6" fillId="2" borderId="0" xfId="4" applyFont="1" applyFill="1" applyBorder="1" applyAlignment="1" applyProtection="1">
      <alignment horizontal="center" vertical="center"/>
    </xf>
    <xf numFmtId="0" fontId="6" fillId="2" borderId="4" xfId="4" applyFont="1" applyFill="1" applyBorder="1" applyAlignment="1" applyProtection="1">
      <alignment horizontal="left" vertical="center"/>
    </xf>
    <xf numFmtId="0" fontId="6" fillId="4" borderId="6" xfId="4" applyFont="1" applyFill="1" applyBorder="1" applyAlignment="1" applyProtection="1">
      <alignment horizontal="center" vertical="center"/>
    </xf>
    <xf numFmtId="0" fontId="6" fillId="4" borderId="7" xfId="4" applyFont="1" applyFill="1" applyBorder="1" applyAlignment="1" applyProtection="1">
      <alignment horizontal="center" vertical="center"/>
    </xf>
    <xf numFmtId="0" fontId="6" fillId="4" borderId="7" xfId="4" applyFont="1" applyFill="1" applyBorder="1" applyAlignment="1" applyProtection="1">
      <alignment horizontal="center" vertical="center" wrapText="1"/>
    </xf>
    <xf numFmtId="0" fontId="6" fillId="4" borderId="8" xfId="4" applyFont="1" applyFill="1" applyBorder="1" applyAlignment="1" applyProtection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/>
    </xf>
    <xf numFmtId="165" fontId="3" fillId="2" borderId="11" xfId="6" applyNumberFormat="1" applyFont="1" applyFill="1" applyBorder="1" applyAlignment="1" applyProtection="1">
      <alignment horizontal="left" vertical="center"/>
    </xf>
    <xf numFmtId="165" fontId="3" fillId="2" borderId="12" xfId="2" applyNumberFormat="1" applyFont="1" applyFill="1" applyBorder="1" applyAlignment="1" applyProtection="1">
      <alignment horizontal="center" vertical="center"/>
    </xf>
    <xf numFmtId="0" fontId="3" fillId="2" borderId="14" xfId="4" applyFont="1" applyFill="1" applyBorder="1" applyAlignment="1" applyProtection="1">
      <alignment horizontal="center" vertical="center"/>
    </xf>
    <xf numFmtId="165" fontId="3" fillId="2" borderId="15" xfId="6" applyNumberFormat="1" applyFont="1" applyFill="1" applyBorder="1" applyAlignment="1" applyProtection="1">
      <alignment horizontal="left" vertical="center"/>
    </xf>
    <xf numFmtId="165" fontId="3" fillId="2" borderId="16" xfId="2" applyNumberFormat="1" applyFont="1" applyFill="1" applyBorder="1" applyAlignment="1" applyProtection="1">
      <alignment horizontal="center" vertical="center"/>
    </xf>
    <xf numFmtId="165" fontId="3" fillId="2" borderId="19" xfId="6" applyNumberFormat="1" applyFont="1" applyFill="1" applyBorder="1" applyAlignment="1" applyProtection="1">
      <alignment horizontal="left" vertical="center"/>
    </xf>
    <xf numFmtId="165" fontId="3" fillId="2" borderId="23" xfId="2" applyNumberFormat="1" applyFont="1" applyFill="1" applyBorder="1" applyAlignment="1" applyProtection="1">
      <alignment horizontal="center" vertical="center"/>
    </xf>
    <xf numFmtId="0" fontId="3" fillId="2" borderId="27" xfId="4" applyFont="1" applyFill="1" applyBorder="1" applyAlignment="1" applyProtection="1">
      <alignment horizontal="center" vertical="center"/>
    </xf>
    <xf numFmtId="165" fontId="3" fillId="2" borderId="20" xfId="6" applyNumberFormat="1" applyFont="1" applyFill="1" applyBorder="1" applyAlignment="1" applyProtection="1">
      <alignment horizontal="left" vertical="center"/>
    </xf>
    <xf numFmtId="165" fontId="3" fillId="2" borderId="22" xfId="2" applyNumberFormat="1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 applyProtection="1">
      <alignment horizontal="center" vertical="center"/>
    </xf>
    <xf numFmtId="0" fontId="6" fillId="4" borderId="1" xfId="4" applyFont="1" applyFill="1" applyBorder="1" applyAlignment="1" applyProtection="1">
      <alignment horizontal="center" vertical="center"/>
    </xf>
    <xf numFmtId="0" fontId="3" fillId="4" borderId="2" xfId="4" applyFont="1" applyFill="1" applyBorder="1" applyAlignment="1" applyProtection="1">
      <alignment horizontal="left" vertical="center" wrapText="1"/>
    </xf>
    <xf numFmtId="166" fontId="6" fillId="4" borderId="7" xfId="1" applyNumberFormat="1" applyFont="1" applyFill="1" applyBorder="1" applyAlignment="1" applyProtection="1">
      <alignment horizontal="center" vertical="center"/>
    </xf>
    <xf numFmtId="166" fontId="6" fillId="4" borderId="7" xfId="5" applyNumberFormat="1" applyFont="1" applyFill="1" applyBorder="1" applyAlignment="1" applyProtection="1">
      <alignment horizontal="center" vertical="center"/>
    </xf>
    <xf numFmtId="43" fontId="8" fillId="4" borderId="7" xfId="5" applyFont="1" applyFill="1" applyBorder="1" applyAlignment="1" applyProtection="1">
      <alignment horizontal="center" vertical="center"/>
    </xf>
    <xf numFmtId="165" fontId="6" fillId="4" borderId="7" xfId="2" applyNumberFormat="1" applyFont="1" applyFill="1" applyBorder="1" applyAlignment="1" applyProtection="1">
      <alignment horizontal="center" vertical="center"/>
    </xf>
    <xf numFmtId="165" fontId="6" fillId="4" borderId="24" xfId="2" applyNumberFormat="1" applyFont="1" applyFill="1" applyBorder="1" applyAlignment="1" applyProtection="1">
      <alignment horizontal="center" vertical="center"/>
    </xf>
    <xf numFmtId="165" fontId="6" fillId="4" borderId="8" xfId="2" applyNumberFormat="1" applyFont="1" applyFill="1" applyBorder="1" applyAlignment="1" applyProtection="1">
      <alignment horizontal="center" vertical="center"/>
    </xf>
    <xf numFmtId="0" fontId="6" fillId="2" borderId="5" xfId="4" applyFont="1" applyFill="1" applyBorder="1" applyAlignment="1" applyProtection="1">
      <alignment horizontal="center" vertical="center"/>
    </xf>
    <xf numFmtId="0" fontId="3" fillId="2" borderId="0" xfId="4" applyFont="1" applyFill="1" applyBorder="1" applyAlignment="1" applyProtection="1">
      <alignment vertical="center" wrapText="1"/>
    </xf>
    <xf numFmtId="0" fontId="6" fillId="4" borderId="6" xfId="4" applyFont="1" applyFill="1" applyBorder="1" applyAlignment="1" applyProtection="1">
      <alignment horizontal="center" vertical="center" wrapText="1"/>
    </xf>
    <xf numFmtId="0" fontId="4" fillId="2" borderId="0" xfId="4" applyFont="1" applyFill="1" applyBorder="1" applyAlignment="1" applyProtection="1">
      <alignment vertical="center" wrapText="1"/>
    </xf>
    <xf numFmtId="0" fontId="13" fillId="0" borderId="0" xfId="4" applyFont="1" applyProtection="1"/>
    <xf numFmtId="165" fontId="6" fillId="4" borderId="2" xfId="2" applyNumberFormat="1" applyFont="1" applyFill="1" applyBorder="1" applyAlignment="1" applyProtection="1">
      <alignment horizontal="center" vertical="center"/>
    </xf>
    <xf numFmtId="165" fontId="3" fillId="2" borderId="12" xfId="6" applyNumberFormat="1" applyFont="1" applyFill="1" applyBorder="1" applyAlignment="1" applyProtection="1">
      <alignment horizontal="left" vertical="center"/>
    </xf>
    <xf numFmtId="165" fontId="3" fillId="2" borderId="16" xfId="6" applyNumberFormat="1" applyFont="1" applyFill="1" applyBorder="1" applyAlignment="1" applyProtection="1">
      <alignment horizontal="left" vertical="center"/>
    </xf>
    <xf numFmtId="169" fontId="6" fillId="4" borderId="7" xfId="5" applyNumberFormat="1" applyFont="1" applyFill="1" applyBorder="1" applyAlignment="1" applyProtection="1">
      <alignment horizontal="right" vertical="center"/>
    </xf>
    <xf numFmtId="0" fontId="3" fillId="2" borderId="4" xfId="4" applyFont="1" applyFill="1" applyBorder="1" applyAlignment="1" applyProtection="1">
      <alignment vertical="center"/>
    </xf>
    <xf numFmtId="0" fontId="3" fillId="2" borderId="0" xfId="4" applyFont="1" applyFill="1" applyBorder="1" applyAlignment="1" applyProtection="1">
      <alignment horizontal="right" vertical="center"/>
    </xf>
    <xf numFmtId="0" fontId="3" fillId="2" borderId="5" xfId="4" applyFont="1" applyFill="1" applyBorder="1" applyAlignment="1" applyProtection="1">
      <alignment vertical="center"/>
    </xf>
    <xf numFmtId="0" fontId="12" fillId="3" borderId="1" xfId="4" applyFont="1" applyFill="1" applyBorder="1" applyAlignment="1" applyProtection="1">
      <alignment vertical="center"/>
    </xf>
    <xf numFmtId="0" fontId="12" fillId="3" borderId="2" xfId="4" applyFont="1" applyFill="1" applyBorder="1" applyAlignment="1" applyProtection="1">
      <alignment vertical="center"/>
    </xf>
    <xf numFmtId="166" fontId="12" fillId="3" borderId="2" xfId="4" applyNumberFormat="1" applyFont="1" applyFill="1" applyBorder="1" applyAlignment="1" applyProtection="1">
      <alignment vertical="center"/>
    </xf>
    <xf numFmtId="169" fontId="12" fillId="3" borderId="2" xfId="4" applyNumberFormat="1" applyFont="1" applyFill="1" applyBorder="1" applyAlignment="1" applyProtection="1">
      <alignment horizontal="right" vertical="center"/>
    </xf>
    <xf numFmtId="165" fontId="12" fillId="3" borderId="2" xfId="4" applyNumberFormat="1" applyFont="1" applyFill="1" applyBorder="1" applyAlignment="1" applyProtection="1">
      <alignment vertical="center"/>
    </xf>
    <xf numFmtId="165" fontId="12" fillId="3" borderId="3" xfId="4" applyNumberFormat="1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vertical="center"/>
    </xf>
    <xf numFmtId="166" fontId="12" fillId="2" borderId="0" xfId="4" applyNumberFormat="1" applyFont="1" applyFill="1" applyBorder="1" applyAlignment="1" applyProtection="1">
      <alignment vertical="center"/>
    </xf>
    <xf numFmtId="169" fontId="12" fillId="2" borderId="0" xfId="4" applyNumberFormat="1" applyFont="1" applyFill="1" applyBorder="1" applyAlignment="1" applyProtection="1">
      <alignment horizontal="right" vertical="center"/>
    </xf>
    <xf numFmtId="165" fontId="12" fillId="2" borderId="0" xfId="4" applyNumberFormat="1" applyFont="1" applyFill="1" applyBorder="1" applyAlignment="1" applyProtection="1">
      <alignment vertical="center"/>
    </xf>
    <xf numFmtId="0" fontId="6" fillId="4" borderId="1" xfId="4" applyFont="1" applyFill="1" applyBorder="1" applyAlignment="1" applyProtection="1">
      <alignment horizontal="center" vertical="center"/>
    </xf>
    <xf numFmtId="0" fontId="6" fillId="4" borderId="24" xfId="4" applyFont="1" applyFill="1" applyBorder="1" applyAlignment="1" applyProtection="1">
      <alignment horizontal="center" vertical="center" wrapText="1"/>
    </xf>
    <xf numFmtId="0" fontId="3" fillId="2" borderId="40" xfId="4" applyFont="1" applyFill="1" applyBorder="1" applyAlignment="1" applyProtection="1">
      <alignment vertical="center"/>
    </xf>
    <xf numFmtId="0" fontId="3" fillId="2" borderId="29" xfId="4" applyFont="1" applyFill="1" applyBorder="1" applyAlignment="1" applyProtection="1">
      <alignment vertical="center"/>
    </xf>
    <xf numFmtId="0" fontId="3" fillId="2" borderId="15" xfId="4" applyFont="1" applyFill="1" applyBorder="1" applyAlignment="1" applyProtection="1">
      <alignment vertical="center"/>
    </xf>
    <xf numFmtId="44" fontId="3" fillId="2" borderId="15" xfId="2" applyFont="1" applyFill="1" applyBorder="1" applyAlignment="1" applyProtection="1">
      <alignment vertical="center"/>
    </xf>
    <xf numFmtId="165" fontId="3" fillId="2" borderId="15" xfId="2" applyNumberFormat="1" applyFont="1" applyFill="1" applyBorder="1" applyAlignment="1" applyProtection="1">
      <alignment vertical="center"/>
    </xf>
    <xf numFmtId="168" fontId="3" fillId="2" borderId="15" xfId="3" applyNumberFormat="1" applyFont="1" applyFill="1" applyBorder="1" applyAlignment="1" applyProtection="1">
      <alignment vertical="center"/>
    </xf>
    <xf numFmtId="0" fontId="3" fillId="2" borderId="42" xfId="4" applyFont="1" applyFill="1" applyBorder="1" applyAlignment="1" applyProtection="1">
      <alignment vertical="center"/>
    </xf>
    <xf numFmtId="0" fontId="3" fillId="2" borderId="30" xfId="4" applyFont="1" applyFill="1" applyBorder="1" applyAlignment="1" applyProtection="1">
      <alignment vertical="center"/>
    </xf>
    <xf numFmtId="168" fontId="3" fillId="2" borderId="20" xfId="3" applyNumberFormat="1" applyFont="1" applyFill="1" applyBorder="1" applyAlignment="1" applyProtection="1">
      <alignment vertical="center"/>
    </xf>
    <xf numFmtId="165" fontId="3" fillId="2" borderId="20" xfId="2" applyNumberFormat="1" applyFont="1" applyFill="1" applyBorder="1" applyAlignment="1" applyProtection="1">
      <alignment vertical="center"/>
    </xf>
    <xf numFmtId="0" fontId="3" fillId="2" borderId="38" xfId="4" applyFont="1" applyFill="1" applyBorder="1" applyAlignment="1" applyProtection="1">
      <alignment vertical="center"/>
    </xf>
    <xf numFmtId="0" fontId="3" fillId="2" borderId="28" xfId="4" applyFont="1" applyFill="1" applyBorder="1" applyAlignment="1" applyProtection="1">
      <alignment vertical="center"/>
    </xf>
    <xf numFmtId="0" fontId="3" fillId="2" borderId="11" xfId="4" applyFont="1" applyFill="1" applyBorder="1" applyAlignment="1" applyProtection="1">
      <alignment vertical="center"/>
    </xf>
    <xf numFmtId="165" fontId="3" fillId="2" borderId="11" xfId="2" applyNumberFormat="1" applyFont="1" applyFill="1" applyBorder="1" applyAlignment="1" applyProtection="1">
      <alignment vertical="center"/>
    </xf>
    <xf numFmtId="0" fontId="7" fillId="2" borderId="9" xfId="4" applyFont="1" applyFill="1" applyBorder="1" applyAlignment="1" applyProtection="1">
      <alignment vertical="center"/>
    </xf>
    <xf numFmtId="0" fontId="4" fillId="2" borderId="13" xfId="4" applyFont="1" applyFill="1" applyBorder="1" applyAlignment="1" applyProtection="1">
      <alignment vertical="center"/>
    </xf>
    <xf numFmtId="0" fontId="4" fillId="2" borderId="17" xfId="4" applyFont="1" applyFill="1" applyBorder="1" applyAlignment="1" applyProtection="1">
      <alignment vertical="center"/>
    </xf>
    <xf numFmtId="0" fontId="4" fillId="2" borderId="18" xfId="4" applyFont="1" applyFill="1" applyBorder="1" applyAlignment="1" applyProtection="1">
      <alignment vertical="center"/>
    </xf>
    <xf numFmtId="0" fontId="6" fillId="4" borderId="8" xfId="4" applyFont="1" applyFill="1" applyBorder="1" applyAlignment="1" applyProtection="1">
      <alignment horizontal="center" vertical="center"/>
    </xf>
    <xf numFmtId="165" fontId="6" fillId="2" borderId="12" xfId="6" applyNumberFormat="1" applyFont="1" applyFill="1" applyBorder="1" applyAlignment="1" applyProtection="1">
      <alignment horizontal="left" vertical="center"/>
    </xf>
    <xf numFmtId="165" fontId="6" fillId="2" borderId="16" xfId="6" applyNumberFormat="1" applyFont="1" applyFill="1" applyBorder="1" applyAlignment="1" applyProtection="1">
      <alignment horizontal="left" vertical="center"/>
    </xf>
    <xf numFmtId="43" fontId="8" fillId="4" borderId="2" xfId="5" applyFont="1" applyFill="1" applyBorder="1" applyAlignment="1" applyProtection="1">
      <alignment horizontal="center" vertical="center"/>
    </xf>
    <xf numFmtId="44" fontId="8" fillId="4" borderId="2" xfId="6" applyFont="1" applyFill="1" applyBorder="1" applyAlignment="1" applyProtection="1">
      <alignment horizontal="center" vertical="center"/>
    </xf>
    <xf numFmtId="43" fontId="3" fillId="4" borderId="21" xfId="5" applyFont="1" applyFill="1" applyBorder="1" applyAlignment="1" applyProtection="1">
      <alignment horizontal="left" vertical="center"/>
    </xf>
    <xf numFmtId="165" fontId="6" fillId="4" borderId="8" xfId="6" applyNumberFormat="1" applyFont="1" applyFill="1" applyBorder="1" applyAlignment="1" applyProtection="1">
      <alignment horizontal="left" vertical="center"/>
    </xf>
    <xf numFmtId="0" fontId="3" fillId="2" borderId="11" xfId="4" applyFont="1" applyFill="1" applyBorder="1" applyAlignment="1" applyProtection="1">
      <alignment horizontal="left" vertical="center" wrapText="1"/>
    </xf>
    <xf numFmtId="44" fontId="3" fillId="2" borderId="11" xfId="6" applyFont="1" applyFill="1" applyBorder="1" applyAlignment="1" applyProtection="1">
      <alignment horizontal="center" vertical="center"/>
    </xf>
    <xf numFmtId="44" fontId="3" fillId="2" borderId="11" xfId="6" applyFont="1" applyFill="1" applyBorder="1" applyAlignment="1" applyProtection="1">
      <alignment horizontal="left" vertical="center"/>
    </xf>
    <xf numFmtId="0" fontId="15" fillId="2" borderId="0" xfId="4" applyFont="1" applyFill="1" applyBorder="1" applyAlignment="1" applyProtection="1">
      <alignment vertical="center"/>
    </xf>
    <xf numFmtId="0" fontId="3" fillId="2" borderId="0" xfId="4" applyFont="1" applyFill="1" applyBorder="1" applyAlignment="1" applyProtection="1">
      <alignment horizontal="left" vertical="center"/>
    </xf>
    <xf numFmtId="0" fontId="3" fillId="2" borderId="5" xfId="4" applyFont="1" applyFill="1" applyBorder="1" applyAlignment="1" applyProtection="1">
      <alignment horizontal="left" vertical="center"/>
    </xf>
    <xf numFmtId="0" fontId="11" fillId="3" borderId="2" xfId="4" applyFont="1" applyFill="1" applyBorder="1" applyAlignment="1" applyProtection="1">
      <alignment vertical="center"/>
    </xf>
    <xf numFmtId="0" fontId="12" fillId="3" borderId="2" xfId="4" applyFont="1" applyFill="1" applyBorder="1" applyAlignment="1" applyProtection="1">
      <alignment horizontal="center" vertical="center"/>
    </xf>
    <xf numFmtId="44" fontId="12" fillId="3" borderId="2" xfId="4" applyNumberFormat="1" applyFont="1" applyFill="1" applyBorder="1" applyAlignment="1" applyProtection="1">
      <alignment horizontal="left" vertical="center"/>
    </xf>
    <xf numFmtId="165" fontId="12" fillId="3" borderId="3" xfId="4" applyNumberFormat="1" applyFont="1" applyFill="1" applyBorder="1" applyAlignment="1" applyProtection="1">
      <alignment horizontal="left" vertical="center"/>
    </xf>
    <xf numFmtId="0" fontId="16" fillId="2" borderId="39" xfId="0" applyFont="1" applyFill="1" applyBorder="1" applyAlignment="1" applyProtection="1">
      <alignment horizontal="left" indent="3"/>
    </xf>
    <xf numFmtId="0" fontId="9" fillId="2" borderId="40" xfId="0" applyFont="1" applyFill="1" applyBorder="1" applyProtection="1"/>
    <xf numFmtId="0" fontId="9" fillId="2" borderId="39" xfId="0" applyFont="1" applyFill="1" applyBorder="1" applyAlignment="1" applyProtection="1">
      <alignment horizontal="left" indent="1"/>
    </xf>
    <xf numFmtId="44" fontId="9" fillId="2" borderId="15" xfId="2" applyFont="1" applyFill="1" applyBorder="1" applyProtection="1"/>
    <xf numFmtId="0" fontId="18" fillId="2" borderId="0" xfId="0" applyFont="1" applyFill="1" applyProtection="1"/>
    <xf numFmtId="0" fontId="12" fillId="3" borderId="1" xfId="0" applyFont="1" applyFill="1" applyBorder="1" applyProtection="1"/>
    <xf numFmtId="0" fontId="11" fillId="3" borderId="2" xfId="0" applyFont="1" applyFill="1" applyBorder="1" applyProtection="1"/>
    <xf numFmtId="44" fontId="12" fillId="3" borderId="2" xfId="2" applyFont="1" applyFill="1" applyBorder="1" applyProtection="1"/>
    <xf numFmtId="0" fontId="16" fillId="2" borderId="39" xfId="0" applyFont="1" applyFill="1" applyBorder="1" applyAlignment="1" applyProtection="1">
      <alignment horizontal="left" indent="1"/>
    </xf>
    <xf numFmtId="0" fontId="9" fillId="2" borderId="39" xfId="0" applyFont="1" applyFill="1" applyBorder="1" applyAlignment="1" applyProtection="1">
      <alignment horizontal="left" indent="4"/>
    </xf>
    <xf numFmtId="44" fontId="9" fillId="2" borderId="20" xfId="2" applyFont="1" applyFill="1" applyBorder="1" applyProtection="1"/>
    <xf numFmtId="0" fontId="16" fillId="5" borderId="39" xfId="0" applyFont="1" applyFill="1" applyBorder="1" applyAlignment="1" applyProtection="1">
      <alignment horizontal="left" indent="3"/>
    </xf>
    <xf numFmtId="0" fontId="9" fillId="5" borderId="40" xfId="0" applyFont="1" applyFill="1" applyBorder="1" applyProtection="1"/>
    <xf numFmtId="44" fontId="16" fillId="5" borderId="32" xfId="2" applyFont="1" applyFill="1" applyBorder="1" applyProtection="1"/>
    <xf numFmtId="0" fontId="16" fillId="2" borderId="39" xfId="0" applyFont="1" applyFill="1" applyBorder="1" applyAlignment="1" applyProtection="1">
      <alignment horizontal="left" indent="2"/>
    </xf>
    <xf numFmtId="0" fontId="16" fillId="4" borderId="39" xfId="0" applyFont="1" applyFill="1" applyBorder="1" applyAlignment="1" applyProtection="1">
      <alignment horizontal="left" indent="1"/>
    </xf>
    <xf numFmtId="0" fontId="16" fillId="4" borderId="40" xfId="0" applyFont="1" applyFill="1" applyBorder="1" applyProtection="1"/>
    <xf numFmtId="44" fontId="16" fillId="4" borderId="15" xfId="2" applyFont="1" applyFill="1" applyBorder="1" applyProtection="1"/>
    <xf numFmtId="0" fontId="9" fillId="2" borderId="4" xfId="0" applyFont="1" applyFill="1" applyBorder="1" applyAlignment="1" applyProtection="1">
      <alignment horizontal="left" indent="1"/>
    </xf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12" fillId="3" borderId="2" xfId="0" applyFont="1" applyFill="1" applyBorder="1" applyProtection="1"/>
    <xf numFmtId="44" fontId="12" fillId="3" borderId="7" xfId="2" applyFont="1" applyFill="1" applyBorder="1" applyProtection="1"/>
    <xf numFmtId="0" fontId="16" fillId="4" borderId="1" xfId="0" applyFont="1" applyFill="1" applyBorder="1" applyAlignment="1" applyProtection="1">
      <alignment horizontal="left" indent="1"/>
    </xf>
    <xf numFmtId="0" fontId="9" fillId="4" borderId="2" xfId="0" applyFont="1" applyFill="1" applyBorder="1" applyProtection="1"/>
    <xf numFmtId="0" fontId="8" fillId="2" borderId="15" xfId="4" applyFont="1" applyFill="1" applyBorder="1" applyAlignment="1" applyProtection="1">
      <alignment horizontal="left" vertical="center" wrapText="1"/>
      <protection locked="0"/>
    </xf>
    <xf numFmtId="166" fontId="8" fillId="2" borderId="15" xfId="5" applyNumberFormat="1" applyFont="1" applyFill="1" applyBorder="1" applyAlignment="1" applyProtection="1">
      <alignment horizontal="center" vertical="center"/>
      <protection locked="0"/>
    </xf>
    <xf numFmtId="0" fontId="3" fillId="2" borderId="39" xfId="4" applyFont="1" applyFill="1" applyBorder="1" applyAlignment="1" applyProtection="1">
      <alignment horizontal="left" vertical="center" indent="1"/>
      <protection locked="0"/>
    </xf>
    <xf numFmtId="0" fontId="3" fillId="2" borderId="41" xfId="4" applyFont="1" applyFill="1" applyBorder="1" applyAlignment="1" applyProtection="1">
      <alignment horizontal="left" vertical="center" indent="1"/>
      <protection locked="0"/>
    </xf>
    <xf numFmtId="0" fontId="3" fillId="2" borderId="37" xfId="4" applyFont="1" applyFill="1" applyBorder="1" applyAlignment="1" applyProtection="1">
      <alignment horizontal="left" vertical="center" indent="1"/>
      <protection locked="0"/>
    </xf>
    <xf numFmtId="44" fontId="8" fillId="2" borderId="15" xfId="6" applyFont="1" applyFill="1" applyBorder="1" applyAlignment="1" applyProtection="1">
      <alignment horizontal="center" vertical="center"/>
      <protection locked="0"/>
    </xf>
    <xf numFmtId="165" fontId="12" fillId="3" borderId="2" xfId="2" applyNumberFormat="1" applyFont="1" applyFill="1" applyBorder="1" applyProtection="1"/>
    <xf numFmtId="165" fontId="16" fillId="5" borderId="46" xfId="2" applyNumberFormat="1" applyFont="1" applyFill="1" applyBorder="1" applyProtection="1"/>
    <xf numFmtId="165" fontId="16" fillId="4" borderId="26" xfId="2" applyNumberFormat="1" applyFont="1" applyFill="1" applyBorder="1" applyProtection="1"/>
    <xf numFmtId="165" fontId="12" fillId="3" borderId="24" xfId="2" applyNumberFormat="1" applyFont="1" applyFill="1" applyBorder="1" applyProtection="1"/>
    <xf numFmtId="10" fontId="16" fillId="4" borderId="2" xfId="3" applyNumberFormat="1" applyFont="1" applyFill="1" applyBorder="1" applyProtection="1"/>
    <xf numFmtId="0" fontId="19" fillId="3" borderId="2" xfId="4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left" indent="3"/>
    </xf>
    <xf numFmtId="0" fontId="9" fillId="2" borderId="47" xfId="0" applyFont="1" applyFill="1" applyBorder="1" applyProtection="1"/>
    <xf numFmtId="0" fontId="9" fillId="4" borderId="3" xfId="0" applyFont="1" applyFill="1" applyBorder="1" applyProtection="1"/>
    <xf numFmtId="0" fontId="11" fillId="3" borderId="3" xfId="0" applyFont="1" applyFill="1" applyBorder="1" applyProtection="1"/>
    <xf numFmtId="10" fontId="9" fillId="2" borderId="19" xfId="0" applyNumberFormat="1" applyFont="1" applyFill="1" applyBorder="1" applyProtection="1"/>
    <xf numFmtId="10" fontId="9" fillId="2" borderId="23" xfId="0" applyNumberFormat="1" applyFont="1" applyFill="1" applyBorder="1" applyProtection="1"/>
    <xf numFmtId="165" fontId="16" fillId="4" borderId="7" xfId="2" applyNumberFormat="1" applyFont="1" applyFill="1" applyBorder="1" applyProtection="1"/>
    <xf numFmtId="165" fontId="16" fillId="4" borderId="8" xfId="2" applyNumberFormat="1" applyFont="1" applyFill="1" applyBorder="1" applyProtection="1"/>
    <xf numFmtId="165" fontId="8" fillId="2" borderId="26" xfId="2" applyNumberFormat="1" applyFont="1" applyFill="1" applyBorder="1" applyProtection="1"/>
    <xf numFmtId="165" fontId="8" fillId="2" borderId="40" xfId="2" applyNumberFormat="1" applyFont="1" applyFill="1" applyBorder="1" applyProtection="1"/>
    <xf numFmtId="165" fontId="8" fillId="2" borderId="44" xfId="2" applyNumberFormat="1" applyFont="1" applyFill="1" applyBorder="1" applyProtection="1"/>
    <xf numFmtId="0" fontId="6" fillId="4" borderId="1" xfId="4" applyFont="1" applyFill="1" applyBorder="1" applyAlignment="1" applyProtection="1">
      <alignment horizontal="center" vertical="center"/>
    </xf>
    <xf numFmtId="0" fontId="20" fillId="2" borderId="0" xfId="0" applyFont="1" applyFill="1" applyProtection="1"/>
    <xf numFmtId="0" fontId="20" fillId="2" borderId="0" xfId="0" applyFont="1" applyFill="1" applyAlignment="1" applyProtection="1">
      <alignment horizontal="left" indent="2"/>
    </xf>
    <xf numFmtId="0" fontId="9" fillId="2" borderId="0" xfId="0" quotePrefix="1" applyFont="1" applyFill="1" applyProtection="1"/>
    <xf numFmtId="0" fontId="9" fillId="2" borderId="0" xfId="0" applyFont="1" applyFill="1" applyAlignment="1" applyProtection="1">
      <alignment horizontal="left" indent="1"/>
    </xf>
    <xf numFmtId="0" fontId="3" fillId="2" borderId="0" xfId="4" quotePrefix="1" applyFont="1" applyFill="1" applyBorder="1" applyAlignment="1" applyProtection="1">
      <alignment horizontal="right" vertical="center" indent="1"/>
    </xf>
    <xf numFmtId="0" fontId="8" fillId="2" borderId="0" xfId="4" applyFont="1" applyFill="1" applyBorder="1" applyAlignment="1" applyProtection="1">
      <alignment vertical="center"/>
    </xf>
    <xf numFmtId="0" fontId="9" fillId="2" borderId="0" xfId="0" quotePrefix="1" applyFont="1" applyFill="1" applyAlignment="1" applyProtection="1">
      <alignment horizontal="left"/>
    </xf>
    <xf numFmtId="0" fontId="16" fillId="2" borderId="0" xfId="0" quotePrefix="1" applyFont="1" applyFill="1" applyAlignment="1" applyProtection="1"/>
    <xf numFmtId="0" fontId="3" fillId="2" borderId="0" xfId="0" quotePrefix="1" applyFont="1" applyFill="1" applyProtection="1"/>
    <xf numFmtId="0" fontId="21" fillId="2" borderId="0" xfId="4" applyFont="1" applyFill="1" applyBorder="1" applyAlignment="1" applyProtection="1">
      <alignment vertical="center"/>
    </xf>
    <xf numFmtId="0" fontId="9" fillId="2" borderId="48" xfId="0" applyFont="1" applyFill="1" applyBorder="1" applyAlignment="1" applyProtection="1">
      <alignment horizontal="left" indent="2"/>
    </xf>
    <xf numFmtId="0" fontId="9" fillId="2" borderId="51" xfId="0" applyFont="1" applyFill="1" applyBorder="1" applyProtection="1"/>
    <xf numFmtId="0" fontId="9" fillId="2" borderId="37" xfId="0" applyFont="1" applyFill="1" applyBorder="1" applyAlignment="1" applyProtection="1">
      <alignment horizontal="left" indent="2"/>
    </xf>
    <xf numFmtId="0" fontId="9" fillId="2" borderId="28" xfId="0" applyFont="1" applyFill="1" applyBorder="1" applyProtection="1"/>
    <xf numFmtId="0" fontId="16" fillId="4" borderId="21" xfId="0" applyFont="1" applyFill="1" applyBorder="1" applyProtection="1"/>
    <xf numFmtId="0" fontId="6" fillId="4" borderId="1" xfId="4" applyFont="1" applyFill="1" applyBorder="1" applyAlignment="1" applyProtection="1">
      <alignment horizontal="center" vertical="center"/>
    </xf>
    <xf numFmtId="9" fontId="4" fillId="2" borderId="0" xfId="4" applyNumberFormat="1" applyFont="1" applyFill="1" applyBorder="1" applyAlignment="1" applyProtection="1">
      <alignment vertical="center"/>
    </xf>
    <xf numFmtId="0" fontId="3" fillId="2" borderId="15" xfId="4" applyFont="1" applyFill="1" applyBorder="1" applyAlignment="1" applyProtection="1">
      <alignment horizontal="left" vertical="center" wrapText="1"/>
      <protection locked="0"/>
    </xf>
    <xf numFmtId="0" fontId="3" fillId="2" borderId="19" xfId="4" applyFont="1" applyFill="1" applyBorder="1" applyAlignment="1" applyProtection="1">
      <alignment horizontal="left" vertical="center" wrapText="1"/>
      <protection locked="0"/>
    </xf>
    <xf numFmtId="0" fontId="3" fillId="2" borderId="11" xfId="4" applyFont="1" applyFill="1" applyBorder="1" applyAlignment="1" applyProtection="1">
      <alignment horizontal="left" vertical="center" wrapText="1"/>
      <protection locked="0"/>
    </xf>
    <xf numFmtId="44" fontId="3" fillId="2" borderId="11" xfId="6" applyFont="1" applyFill="1" applyBorder="1" applyAlignment="1" applyProtection="1">
      <alignment horizontal="center" vertical="center"/>
      <protection locked="0"/>
    </xf>
    <xf numFmtId="44" fontId="3" fillId="2" borderId="15" xfId="6" applyFont="1" applyFill="1" applyBorder="1" applyAlignment="1" applyProtection="1">
      <alignment horizontal="center" vertical="center"/>
      <protection locked="0"/>
    </xf>
    <xf numFmtId="44" fontId="3" fillId="2" borderId="19" xfId="6" applyFont="1" applyFill="1" applyBorder="1" applyAlignment="1" applyProtection="1">
      <alignment horizontal="center" vertical="center"/>
      <protection locked="0"/>
    </xf>
    <xf numFmtId="165" fontId="6" fillId="0" borderId="16" xfId="6" applyNumberFormat="1" applyFont="1" applyFill="1" applyBorder="1" applyAlignment="1" applyProtection="1">
      <alignment horizontal="left" vertical="center"/>
    </xf>
    <xf numFmtId="0" fontId="3" fillId="2" borderId="55" xfId="4" applyFont="1" applyFill="1" applyBorder="1" applyAlignment="1" applyProtection="1">
      <alignment vertical="center"/>
    </xf>
    <xf numFmtId="0" fontId="3" fillId="2" borderId="56" xfId="4" applyFont="1" applyFill="1" applyBorder="1" applyAlignment="1" applyProtection="1">
      <alignment vertical="center"/>
    </xf>
    <xf numFmtId="0" fontId="3" fillId="2" borderId="57" xfId="4" applyFont="1" applyFill="1" applyBorder="1" applyAlignment="1" applyProtection="1">
      <alignment vertical="center"/>
    </xf>
    <xf numFmtId="0" fontId="3" fillId="2" borderId="58" xfId="4" applyFont="1" applyFill="1" applyBorder="1" applyAlignment="1" applyProtection="1">
      <alignment vertical="center"/>
    </xf>
    <xf numFmtId="0" fontId="3" fillId="2" borderId="59" xfId="4" applyFont="1" applyFill="1" applyBorder="1" applyAlignment="1" applyProtection="1">
      <alignment vertical="center"/>
    </xf>
    <xf numFmtId="0" fontId="3" fillId="2" borderId="0" xfId="4" quotePrefix="1" applyFont="1" applyFill="1" applyBorder="1" applyAlignment="1" applyProtection="1">
      <alignment vertical="center"/>
    </xf>
    <xf numFmtId="0" fontId="3" fillId="2" borderId="20" xfId="4" applyFont="1" applyFill="1" applyBorder="1" applyAlignment="1" applyProtection="1">
      <alignment horizontal="left" vertical="center" wrapText="1"/>
      <protection locked="0"/>
    </xf>
    <xf numFmtId="166" fontId="3" fillId="2" borderId="11" xfId="5" applyNumberFormat="1" applyFont="1" applyFill="1" applyBorder="1" applyAlignment="1" applyProtection="1">
      <alignment horizontal="center" vertical="center"/>
      <protection locked="0"/>
    </xf>
    <xf numFmtId="10" fontId="3" fillId="2" borderId="26" xfId="3" applyNumberFormat="1" applyFont="1" applyFill="1" applyBorder="1" applyAlignment="1" applyProtection="1">
      <alignment horizontal="center" vertical="center"/>
      <protection locked="0"/>
    </xf>
    <xf numFmtId="170" fontId="10" fillId="2" borderId="0" xfId="5" applyNumberFormat="1" applyFont="1" applyFill="1" applyBorder="1" applyAlignment="1" applyProtection="1">
      <alignment horizontal="left" vertical="center"/>
    </xf>
    <xf numFmtId="164" fontId="10" fillId="2" borderId="0" xfId="5" applyNumberFormat="1" applyFont="1" applyFill="1" applyBorder="1" applyAlignment="1" applyProtection="1">
      <alignment horizontal="left" vertical="center"/>
    </xf>
    <xf numFmtId="0" fontId="22" fillId="2" borderId="0" xfId="4" applyFont="1" applyFill="1" applyBorder="1" applyAlignment="1" applyProtection="1">
      <alignment vertical="center"/>
    </xf>
    <xf numFmtId="165" fontId="3" fillId="2" borderId="26" xfId="2" applyNumberFormat="1" applyFont="1" applyFill="1" applyBorder="1" applyProtection="1"/>
    <xf numFmtId="165" fontId="3" fillId="2" borderId="36" xfId="2" applyNumberFormat="1" applyFont="1" applyFill="1" applyBorder="1" applyProtection="1"/>
    <xf numFmtId="165" fontId="3" fillId="2" borderId="50" xfId="2" applyNumberFormat="1" applyFont="1" applyFill="1" applyBorder="1" applyProtection="1"/>
    <xf numFmtId="165" fontId="3" fillId="2" borderId="11" xfId="0" applyNumberFormat="1" applyFont="1" applyFill="1" applyBorder="1" applyProtection="1"/>
    <xf numFmtId="165" fontId="3" fillId="2" borderId="12" xfId="0" applyNumberFormat="1" applyFont="1" applyFill="1" applyBorder="1" applyProtection="1"/>
    <xf numFmtId="0" fontId="16" fillId="2" borderId="0" xfId="0" applyFont="1" applyFill="1" applyProtection="1"/>
    <xf numFmtId="166" fontId="3" fillId="2" borderId="11" xfId="5" applyNumberFormat="1" applyFont="1" applyFill="1" applyBorder="1" applyAlignment="1" applyProtection="1">
      <alignment horizontal="center" vertical="center"/>
    </xf>
    <xf numFmtId="166" fontId="3" fillId="2" borderId="15" xfId="5" applyNumberFormat="1" applyFont="1" applyFill="1" applyBorder="1" applyAlignment="1" applyProtection="1">
      <alignment horizontal="center" vertical="center"/>
      <protection locked="0"/>
    </xf>
    <xf numFmtId="165" fontId="3" fillId="2" borderId="15" xfId="6" applyNumberFormat="1" applyFont="1" applyFill="1" applyBorder="1" applyAlignment="1" applyProtection="1">
      <alignment horizontal="left" vertical="center"/>
      <protection locked="0"/>
    </xf>
    <xf numFmtId="166" fontId="12" fillId="3" borderId="2" xfId="1" applyNumberFormat="1" applyFont="1" applyFill="1" applyBorder="1" applyAlignment="1" applyProtection="1">
      <alignment vertical="center"/>
    </xf>
    <xf numFmtId="0" fontId="20" fillId="2" borderId="0" xfId="0" applyFont="1" applyFill="1" applyBorder="1" applyProtection="1"/>
    <xf numFmtId="0" fontId="16" fillId="2" borderId="0" xfId="0" quotePrefix="1" applyFont="1" applyFill="1" applyBorder="1" applyAlignment="1" applyProtection="1"/>
    <xf numFmtId="0" fontId="3" fillId="2" borderId="0" xfId="0" quotePrefix="1" applyFont="1" applyFill="1" applyBorder="1" applyProtection="1"/>
    <xf numFmtId="0" fontId="9" fillId="2" borderId="0" xfId="0" quotePrefix="1" applyFont="1" applyFill="1" applyBorder="1" applyProtection="1"/>
    <xf numFmtId="0" fontId="9" fillId="2" borderId="0" xfId="0" quotePrefix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 indent="2"/>
    </xf>
    <xf numFmtId="44" fontId="8" fillId="6" borderId="11" xfId="6" applyFont="1" applyFill="1" applyBorder="1" applyAlignment="1" applyProtection="1">
      <alignment horizontal="left" vertical="center"/>
      <protection locked="0"/>
    </xf>
    <xf numFmtId="9" fontId="8" fillId="6" borderId="15" xfId="3" applyFont="1" applyFill="1" applyBorder="1" applyAlignment="1" applyProtection="1">
      <alignment horizontal="center" vertical="center"/>
      <protection locked="0"/>
    </xf>
    <xf numFmtId="44" fontId="8" fillId="6" borderId="15" xfId="6" applyFont="1" applyFill="1" applyBorder="1" applyAlignment="1" applyProtection="1">
      <alignment horizontal="right" vertical="center"/>
      <protection locked="0"/>
    </xf>
    <xf numFmtId="165" fontId="8" fillId="6" borderId="15" xfId="6" applyNumberFormat="1" applyFont="1" applyFill="1" applyBorder="1" applyAlignment="1" applyProtection="1">
      <alignment horizontal="right" vertical="center"/>
      <protection locked="0"/>
    </xf>
    <xf numFmtId="165" fontId="8" fillId="6" borderId="19" xfId="6" applyNumberFormat="1" applyFont="1" applyFill="1" applyBorder="1" applyAlignment="1" applyProtection="1">
      <alignment horizontal="right" vertical="center"/>
      <protection locked="0"/>
    </xf>
    <xf numFmtId="9" fontId="8" fillId="6" borderId="19" xfId="6" applyNumberFormat="1" applyFont="1" applyFill="1" applyBorder="1" applyAlignment="1" applyProtection="1">
      <alignment horizontal="right" vertical="center"/>
      <protection locked="0"/>
    </xf>
    <xf numFmtId="166" fontId="8" fillId="6" borderId="15" xfId="5" applyNumberFormat="1" applyFont="1" applyFill="1" applyBorder="1" applyAlignment="1" applyProtection="1">
      <alignment horizontal="center" vertical="center"/>
      <protection locked="0"/>
    </xf>
    <xf numFmtId="166" fontId="8" fillId="6" borderId="11" xfId="5" applyNumberFormat="1" applyFont="1" applyFill="1" applyBorder="1" applyAlignment="1" applyProtection="1">
      <alignment horizontal="center" vertical="center"/>
      <protection locked="0"/>
    </xf>
    <xf numFmtId="165" fontId="8" fillId="6" borderId="11" xfId="6" applyNumberFormat="1" applyFont="1" applyFill="1" applyBorder="1" applyAlignment="1" applyProtection="1">
      <alignment horizontal="left" vertical="center"/>
      <protection locked="0"/>
    </xf>
    <xf numFmtId="165" fontId="8" fillId="6" borderId="15" xfId="6" applyNumberFormat="1" applyFont="1" applyFill="1" applyBorder="1" applyAlignment="1" applyProtection="1">
      <alignment horizontal="left" vertical="center"/>
      <protection locked="0"/>
    </xf>
    <xf numFmtId="44" fontId="8" fillId="6" borderId="15" xfId="6" applyFont="1" applyFill="1" applyBorder="1" applyAlignment="1" applyProtection="1">
      <alignment horizontal="left" vertical="center"/>
      <protection locked="0"/>
    </xf>
    <xf numFmtId="44" fontId="3" fillId="2" borderId="15" xfId="6" applyFont="1" applyFill="1" applyBorder="1" applyAlignment="1" applyProtection="1">
      <alignment horizontal="left" vertical="center"/>
      <protection locked="0"/>
    </xf>
    <xf numFmtId="166" fontId="3" fillId="0" borderId="19" xfId="5" applyNumberFormat="1" applyFont="1" applyFill="1" applyBorder="1" applyAlignment="1" applyProtection="1">
      <alignment horizontal="center" vertical="center"/>
      <protection locked="0"/>
    </xf>
    <xf numFmtId="166" fontId="3" fillId="0" borderId="15" xfId="5" applyNumberFormat="1" applyFont="1" applyFill="1" applyBorder="1" applyAlignment="1" applyProtection="1">
      <alignment horizontal="center" vertical="center"/>
      <protection locked="0"/>
    </xf>
    <xf numFmtId="167" fontId="8" fillId="6" borderId="11" xfId="5" applyNumberFormat="1" applyFont="1" applyFill="1" applyBorder="1" applyAlignment="1" applyProtection="1">
      <alignment horizontal="right" vertical="center"/>
      <protection locked="0"/>
    </xf>
    <xf numFmtId="167" fontId="8" fillId="6" borderId="15" xfId="5" applyNumberFormat="1" applyFont="1" applyFill="1" applyBorder="1" applyAlignment="1" applyProtection="1">
      <alignment horizontal="right" vertical="center"/>
      <protection locked="0"/>
    </xf>
    <xf numFmtId="166" fontId="8" fillId="6" borderId="19" xfId="5" applyNumberFormat="1" applyFont="1" applyFill="1" applyBorder="1" applyAlignment="1" applyProtection="1">
      <alignment horizontal="center" vertical="center"/>
      <protection locked="0"/>
    </xf>
    <xf numFmtId="167" fontId="8" fillId="6" borderId="19" xfId="5" applyNumberFormat="1" applyFont="1" applyFill="1" applyBorder="1" applyAlignment="1" applyProtection="1">
      <alignment horizontal="right" vertical="center"/>
      <protection locked="0"/>
    </xf>
    <xf numFmtId="44" fontId="8" fillId="6" borderId="19" xfId="6" applyFont="1" applyFill="1" applyBorder="1" applyAlignment="1" applyProtection="1">
      <alignment horizontal="left" vertical="center"/>
      <protection locked="0"/>
    </xf>
    <xf numFmtId="166" fontId="8" fillId="6" borderId="20" xfId="5" applyNumberFormat="1" applyFont="1" applyFill="1" applyBorder="1" applyAlignment="1" applyProtection="1">
      <alignment horizontal="center" vertical="center"/>
      <protection locked="0"/>
    </xf>
    <xf numFmtId="167" fontId="8" fillId="6" borderId="20" xfId="5" applyNumberFormat="1" applyFont="1" applyFill="1" applyBorder="1" applyAlignment="1" applyProtection="1">
      <alignment horizontal="right" vertical="center"/>
      <protection locked="0"/>
    </xf>
    <xf numFmtId="44" fontId="8" fillId="6" borderId="20" xfId="6" applyFont="1" applyFill="1" applyBorder="1" applyAlignment="1" applyProtection="1">
      <alignment horizontal="left" vertical="center"/>
      <protection locked="0"/>
    </xf>
    <xf numFmtId="165" fontId="8" fillId="6" borderId="11" xfId="6" applyNumberFormat="1" applyFont="1" applyFill="1" applyBorder="1" applyAlignment="1" applyProtection="1">
      <alignment horizontal="center" vertical="center"/>
      <protection locked="0"/>
    </xf>
    <xf numFmtId="165" fontId="8" fillId="6" borderId="15" xfId="6" applyNumberFormat="1" applyFont="1" applyFill="1" applyBorder="1" applyAlignment="1" applyProtection="1">
      <alignment horizontal="center" vertical="center"/>
      <protection locked="0"/>
    </xf>
    <xf numFmtId="165" fontId="8" fillId="6" borderId="19" xfId="6" applyNumberFormat="1" applyFont="1" applyFill="1" applyBorder="1" applyAlignment="1" applyProtection="1">
      <alignment horizontal="center" vertical="center"/>
      <protection locked="0"/>
    </xf>
    <xf numFmtId="165" fontId="8" fillId="6" borderId="20" xfId="6" applyNumberFormat="1" applyFont="1" applyFill="1" applyBorder="1" applyAlignment="1" applyProtection="1">
      <alignment horizontal="center" vertical="center"/>
      <protection locked="0"/>
    </xf>
    <xf numFmtId="10" fontId="8" fillId="6" borderId="25" xfId="3" applyNumberFormat="1" applyFont="1" applyFill="1" applyBorder="1" applyAlignment="1" applyProtection="1">
      <alignment horizontal="center" vertical="center"/>
      <protection locked="0"/>
    </xf>
    <xf numFmtId="169" fontId="8" fillId="6" borderId="11" xfId="5" applyNumberFormat="1" applyFont="1" applyFill="1" applyBorder="1" applyAlignment="1" applyProtection="1">
      <alignment horizontal="right" vertical="center"/>
      <protection locked="0"/>
    </xf>
    <xf numFmtId="169" fontId="8" fillId="6" borderId="15" xfId="5" applyNumberFormat="1" applyFont="1" applyFill="1" applyBorder="1" applyAlignment="1" applyProtection="1">
      <alignment horizontal="right" vertical="center"/>
      <protection locked="0"/>
    </xf>
    <xf numFmtId="165" fontId="8" fillId="6" borderId="15" xfId="2" applyNumberFormat="1" applyFont="1" applyFill="1" applyBorder="1" applyAlignment="1" applyProtection="1">
      <alignment vertical="center"/>
    </xf>
    <xf numFmtId="44" fontId="8" fillId="6" borderId="15" xfId="2" applyFont="1" applyFill="1" applyBorder="1" applyAlignment="1" applyProtection="1">
      <alignment vertical="center"/>
      <protection locked="0"/>
    </xf>
    <xf numFmtId="44" fontId="8" fillId="6" borderId="20" xfId="2" applyFont="1" applyFill="1" applyBorder="1" applyAlignment="1" applyProtection="1">
      <alignment vertical="center"/>
      <protection locked="0"/>
    </xf>
    <xf numFmtId="165" fontId="8" fillId="6" borderId="11" xfId="2" applyNumberFormat="1" applyFont="1" applyFill="1" applyBorder="1" applyAlignment="1" applyProtection="1">
      <alignment vertical="center"/>
      <protection locked="0"/>
    </xf>
    <xf numFmtId="165" fontId="8" fillId="6" borderId="20" xfId="2" applyNumberFormat="1" applyFont="1" applyFill="1" applyBorder="1" applyAlignment="1" applyProtection="1">
      <alignment vertical="center"/>
      <protection locked="0"/>
    </xf>
    <xf numFmtId="168" fontId="8" fillId="6" borderId="15" xfId="3" applyNumberFormat="1" applyFont="1" applyFill="1" applyBorder="1" applyAlignment="1" applyProtection="1">
      <alignment vertical="center"/>
      <protection locked="0"/>
    </xf>
    <xf numFmtId="0" fontId="19" fillId="3" borderId="2" xfId="4" applyFont="1" applyFill="1" applyBorder="1" applyAlignment="1" applyProtection="1">
      <alignment horizontal="center" vertical="center"/>
    </xf>
    <xf numFmtId="0" fontId="19" fillId="3" borderId="3" xfId="4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/>
    </xf>
    <xf numFmtId="0" fontId="3" fillId="0" borderId="15" xfId="4" applyFont="1" applyFill="1" applyBorder="1" applyAlignment="1" applyProtection="1">
      <alignment horizontal="left" vertical="center" wrapText="1"/>
      <protection locked="0"/>
    </xf>
    <xf numFmtId="168" fontId="8" fillId="6" borderId="19" xfId="6" applyNumberFormat="1" applyFont="1" applyFill="1" applyBorder="1" applyAlignment="1" applyProtection="1">
      <alignment horizontal="right" vertical="center"/>
      <protection locked="0"/>
    </xf>
    <xf numFmtId="165" fontId="3" fillId="0" borderId="15" xfId="3" applyNumberFormat="1" applyFont="1" applyFill="1" applyBorder="1" applyAlignment="1" applyProtection="1">
      <alignment horizontal="right" vertical="center"/>
      <protection locked="0"/>
    </xf>
    <xf numFmtId="0" fontId="19" fillId="3" borderId="3" xfId="4" applyFont="1" applyFill="1" applyBorder="1" applyAlignment="1" applyProtection="1">
      <alignment vertical="center"/>
    </xf>
    <xf numFmtId="0" fontId="9" fillId="2" borderId="42" xfId="0" applyFont="1" applyFill="1" applyBorder="1" applyProtection="1"/>
    <xf numFmtId="0" fontId="9" fillId="2" borderId="43" xfId="0" applyFont="1" applyFill="1" applyBorder="1" applyAlignment="1" applyProtection="1"/>
    <xf numFmtId="0" fontId="9" fillId="2" borderId="40" xfId="0" applyFont="1" applyFill="1" applyBorder="1" applyAlignment="1" applyProtection="1">
      <alignment horizontal="center"/>
    </xf>
    <xf numFmtId="44" fontId="9" fillId="2" borderId="0" xfId="2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left" indent="1"/>
    </xf>
    <xf numFmtId="0" fontId="9" fillId="2" borderId="0" xfId="0" applyFont="1" applyFill="1" applyAlignment="1" applyProtection="1">
      <alignment horizontal="center"/>
    </xf>
    <xf numFmtId="43" fontId="3" fillId="0" borderId="19" xfId="5" applyFont="1" applyFill="1" applyBorder="1" applyAlignment="1" applyProtection="1">
      <alignment horizontal="center" vertical="center"/>
      <protection locked="0"/>
    </xf>
    <xf numFmtId="165" fontId="8" fillId="0" borderId="15" xfId="6" applyNumberFormat="1" applyFont="1" applyFill="1" applyBorder="1" applyAlignment="1" applyProtection="1">
      <alignment horizontal="left" vertical="center"/>
      <protection locked="0"/>
    </xf>
    <xf numFmtId="9" fontId="8" fillId="2" borderId="0" xfId="3" applyFont="1" applyFill="1" applyProtection="1"/>
    <xf numFmtId="44" fontId="9" fillId="2" borderId="0" xfId="0" applyNumberFormat="1" applyFont="1" applyFill="1" applyProtection="1"/>
    <xf numFmtId="9" fontId="8" fillId="6" borderId="19" xfId="3" applyFont="1" applyFill="1" applyBorder="1" applyAlignment="1" applyProtection="1">
      <alignment horizontal="right" vertical="center"/>
      <protection locked="0"/>
    </xf>
    <xf numFmtId="44" fontId="3" fillId="2" borderId="15" xfId="2" applyNumberFormat="1" applyFont="1" applyFill="1" applyBorder="1" applyAlignment="1" applyProtection="1">
      <alignment vertical="center"/>
    </xf>
    <xf numFmtId="165" fontId="3" fillId="6" borderId="15" xfId="6" applyNumberFormat="1" applyFont="1" applyFill="1" applyBorder="1" applyAlignment="1" applyProtection="1">
      <alignment horizontal="left" vertical="center"/>
      <protection locked="0"/>
    </xf>
    <xf numFmtId="166" fontId="3" fillId="6" borderId="15" xfId="5" applyNumberFormat="1" applyFont="1" applyFill="1" applyBorder="1" applyAlignment="1" applyProtection="1">
      <alignment horizontal="center" vertical="center"/>
      <protection locked="0"/>
    </xf>
    <xf numFmtId="0" fontId="6" fillId="2" borderId="0" xfId="4" applyFont="1" applyFill="1" applyBorder="1" applyAlignment="1" applyProtection="1">
      <alignment horizontal="left" vertical="center"/>
    </xf>
    <xf numFmtId="43" fontId="3" fillId="2" borderId="60" xfId="1" applyFont="1" applyFill="1" applyBorder="1" applyAlignment="1" applyProtection="1">
      <alignment vertical="center"/>
    </xf>
    <xf numFmtId="0" fontId="9" fillId="7" borderId="61" xfId="0" applyFont="1" applyFill="1" applyBorder="1" applyAlignment="1" applyProtection="1">
      <alignment horizontal="left" indent="1"/>
    </xf>
    <xf numFmtId="0" fontId="9" fillId="7" borderId="54" xfId="0" applyFont="1" applyFill="1" applyBorder="1" applyProtection="1"/>
    <xf numFmtId="0" fontId="9" fillId="7" borderId="41" xfId="0" applyFont="1" applyFill="1" applyBorder="1" applyAlignment="1" applyProtection="1">
      <alignment horizontal="left" indent="1"/>
    </xf>
    <xf numFmtId="0" fontId="9" fillId="7" borderId="42" xfId="0" applyFont="1" applyFill="1" applyBorder="1" applyProtection="1"/>
    <xf numFmtId="0" fontId="9" fillId="7" borderId="39" xfId="0" applyFont="1" applyFill="1" applyBorder="1" applyAlignment="1" applyProtection="1">
      <alignment horizontal="left" indent="1"/>
    </xf>
    <xf numFmtId="0" fontId="9" fillId="7" borderId="40" xfId="0" applyFont="1" applyFill="1" applyBorder="1" applyProtection="1"/>
    <xf numFmtId="0" fontId="9" fillId="7" borderId="0" xfId="0" applyFont="1" applyFill="1" applyProtection="1"/>
    <xf numFmtId="10" fontId="3" fillId="2" borderId="9" xfId="3" applyNumberFormat="1" applyFont="1" applyFill="1" applyBorder="1" applyAlignment="1" applyProtection="1">
      <alignment horizontal="center"/>
    </xf>
    <xf numFmtId="10" fontId="3" fillId="6" borderId="19" xfId="3" applyNumberFormat="1" applyFont="1" applyFill="1" applyBorder="1" applyProtection="1"/>
    <xf numFmtId="2" fontId="6" fillId="4" borderId="7" xfId="5" applyNumberFormat="1" applyFont="1" applyFill="1" applyBorder="1" applyAlignment="1" applyProtection="1">
      <alignment horizontal="center" vertical="center"/>
    </xf>
    <xf numFmtId="3" fontId="8" fillId="6" borderId="11" xfId="5" applyNumberFormat="1" applyFont="1" applyFill="1" applyBorder="1" applyAlignment="1" applyProtection="1">
      <alignment horizontal="right" vertical="center"/>
      <protection locked="0"/>
    </xf>
    <xf numFmtId="3" fontId="8" fillId="6" borderId="15" xfId="5" applyNumberFormat="1" applyFont="1" applyFill="1" applyBorder="1" applyAlignment="1" applyProtection="1">
      <alignment horizontal="right" vertical="center"/>
      <protection locked="0"/>
    </xf>
    <xf numFmtId="165" fontId="3" fillId="2" borderId="62" xfId="6" applyNumberFormat="1" applyFont="1" applyFill="1" applyBorder="1" applyAlignment="1" applyProtection="1">
      <alignment horizontal="left" vertical="center"/>
    </xf>
    <xf numFmtId="165" fontId="3" fillId="2" borderId="33" xfId="6" applyNumberFormat="1" applyFont="1" applyFill="1" applyBorder="1" applyAlignment="1" applyProtection="1">
      <alignment horizontal="left" vertical="center"/>
    </xf>
    <xf numFmtId="44" fontId="6" fillId="4" borderId="7" xfId="2" applyNumberFormat="1" applyFont="1" applyFill="1" applyBorder="1" applyAlignment="1" applyProtection="1">
      <alignment horizontal="center" vertical="center"/>
    </xf>
    <xf numFmtId="166" fontId="3" fillId="2" borderId="19" xfId="5" applyNumberFormat="1" applyFont="1" applyFill="1" applyBorder="1" applyAlignment="1" applyProtection="1">
      <alignment horizontal="center" vertical="center"/>
      <protection locked="0"/>
    </xf>
    <xf numFmtId="44" fontId="8" fillId="6" borderId="19" xfId="2" applyFont="1" applyFill="1" applyBorder="1" applyAlignment="1" applyProtection="1">
      <alignment horizontal="right" vertical="center"/>
      <protection locked="0"/>
    </xf>
    <xf numFmtId="43" fontId="15" fillId="2" borderId="34" xfId="1" applyNumberFormat="1" applyFont="1" applyFill="1" applyBorder="1" applyAlignment="1" applyProtection="1">
      <alignment vertical="center"/>
    </xf>
    <xf numFmtId="0" fontId="0" fillId="0" borderId="0" xfId="0"/>
    <xf numFmtId="0" fontId="3" fillId="2" borderId="0" xfId="4" applyFont="1" applyFill="1" applyBorder="1" applyAlignment="1" applyProtection="1">
      <alignment vertical="center"/>
    </xf>
    <xf numFmtId="0" fontId="4" fillId="2" borderId="0" xfId="4" applyFont="1" applyFill="1" applyBorder="1" applyAlignment="1" applyProtection="1">
      <alignment vertical="center"/>
    </xf>
    <xf numFmtId="0" fontId="15" fillId="2" borderId="9" xfId="4" applyFont="1" applyFill="1" applyBorder="1" applyAlignment="1" applyProtection="1">
      <alignment vertical="center"/>
    </xf>
    <xf numFmtId="0" fontId="15" fillId="2" borderId="21" xfId="4" applyFont="1" applyFill="1" applyBorder="1" applyAlignment="1" applyProtection="1">
      <alignment vertical="center"/>
    </xf>
    <xf numFmtId="0" fontId="15" fillId="2" borderId="7" xfId="4" applyFont="1" applyFill="1" applyBorder="1" applyAlignment="1" applyProtection="1">
      <alignment vertical="center"/>
    </xf>
    <xf numFmtId="0" fontId="15" fillId="2" borderId="8" xfId="4" applyFont="1" applyFill="1" applyBorder="1" applyAlignment="1" applyProtection="1">
      <alignment vertical="center"/>
    </xf>
    <xf numFmtId="166" fontId="15" fillId="2" borderId="34" xfId="1" applyNumberFormat="1" applyFont="1" applyFill="1" applyBorder="1" applyAlignment="1" applyProtection="1">
      <alignment vertical="center"/>
    </xf>
    <xf numFmtId="43" fontId="14" fillId="2" borderId="31" xfId="1" applyFont="1" applyFill="1" applyBorder="1" applyAlignment="1" applyProtection="1">
      <alignment vertical="center"/>
    </xf>
    <xf numFmtId="43" fontId="4" fillId="2" borderId="32" xfId="1" applyFont="1" applyFill="1" applyBorder="1" applyAlignment="1" applyProtection="1">
      <alignment vertical="center"/>
    </xf>
    <xf numFmtId="43" fontId="3" fillId="2" borderId="32" xfId="1" applyFont="1" applyFill="1" applyBorder="1" applyAlignment="1" applyProtection="1">
      <alignment vertical="center"/>
    </xf>
    <xf numFmtId="43" fontId="3" fillId="2" borderId="33" xfId="1" applyFont="1" applyFill="1" applyBorder="1" applyAlignment="1" applyProtection="1">
      <alignment vertical="center"/>
    </xf>
    <xf numFmtId="0" fontId="3" fillId="2" borderId="14" xfId="4" applyFont="1" applyFill="1" applyBorder="1" applyAlignment="1" applyProtection="1">
      <alignment horizontal="center" vertical="center"/>
    </xf>
    <xf numFmtId="43" fontId="14" fillId="2" borderId="29" xfId="1" applyFont="1" applyFill="1" applyBorder="1" applyAlignment="1" applyProtection="1">
      <alignment vertical="center"/>
    </xf>
    <xf numFmtId="43" fontId="4" fillId="2" borderId="15" xfId="1" applyFont="1" applyFill="1" applyBorder="1" applyAlignment="1" applyProtection="1">
      <alignment vertical="center"/>
    </xf>
    <xf numFmtId="43" fontId="3" fillId="2" borderId="15" xfId="1" applyFont="1" applyFill="1" applyBorder="1" applyAlignment="1" applyProtection="1">
      <alignment vertical="center"/>
    </xf>
    <xf numFmtId="43" fontId="3" fillId="2" borderId="16" xfId="1" applyFont="1" applyFill="1" applyBorder="1" applyAlignment="1" applyProtection="1">
      <alignment vertical="center"/>
    </xf>
    <xf numFmtId="166" fontId="15" fillId="2" borderId="35" xfId="1" applyNumberFormat="1" applyFont="1" applyFill="1" applyBorder="1" applyAlignment="1" applyProtection="1">
      <alignment vertical="center"/>
    </xf>
    <xf numFmtId="43" fontId="14" fillId="2" borderId="30" xfId="1" applyFont="1" applyFill="1" applyBorder="1" applyAlignment="1" applyProtection="1">
      <alignment vertical="center"/>
    </xf>
    <xf numFmtId="43" fontId="4" fillId="2" borderId="20" xfId="1" applyFont="1" applyFill="1" applyBorder="1" applyAlignment="1" applyProtection="1">
      <alignment vertical="center"/>
    </xf>
    <xf numFmtId="43" fontId="3" fillId="2" borderId="20" xfId="1" applyFont="1" applyFill="1" applyBorder="1" applyAlignment="1" applyProtection="1">
      <alignment vertical="center"/>
    </xf>
    <xf numFmtId="43" fontId="3" fillId="2" borderId="22" xfId="1" applyFont="1" applyFill="1" applyBorder="1" applyAlignment="1" applyProtection="1">
      <alignment vertical="center"/>
    </xf>
    <xf numFmtId="0" fontId="9" fillId="2" borderId="40" xfId="0" applyFont="1" applyFill="1" applyBorder="1" applyProtection="1"/>
    <xf numFmtId="9" fontId="4" fillId="2" borderId="0" xfId="4" applyNumberFormat="1" applyFont="1" applyFill="1" applyBorder="1" applyAlignment="1" applyProtection="1">
      <alignment vertical="center"/>
    </xf>
    <xf numFmtId="0" fontId="3" fillId="2" borderId="19" xfId="4" applyFont="1" applyFill="1" applyBorder="1" applyAlignment="1" applyProtection="1">
      <alignment horizontal="left" vertical="center" wrapText="1"/>
      <protection locked="0"/>
    </xf>
    <xf numFmtId="44" fontId="3" fillId="2" borderId="19" xfId="6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Protection="1"/>
    <xf numFmtId="166" fontId="3" fillId="6" borderId="15" xfId="5" applyNumberFormat="1" applyFont="1" applyFill="1" applyBorder="1" applyAlignment="1" applyProtection="1">
      <alignment horizontal="center" vertical="center"/>
      <protection locked="0"/>
    </xf>
    <xf numFmtId="0" fontId="9" fillId="7" borderId="54" xfId="0" applyFont="1" applyFill="1" applyBorder="1" applyProtection="1"/>
    <xf numFmtId="0" fontId="9" fillId="7" borderId="42" xfId="0" applyFont="1" applyFill="1" applyBorder="1" applyProtection="1"/>
    <xf numFmtId="0" fontId="9" fillId="7" borderId="40" xfId="0" applyFont="1" applyFill="1" applyBorder="1" applyProtection="1"/>
    <xf numFmtId="9" fontId="8" fillId="7" borderId="16" xfId="3" applyFont="1" applyFill="1" applyBorder="1" applyAlignment="1" applyProtection="1"/>
    <xf numFmtId="165" fontId="9" fillId="7" borderId="16" xfId="2" applyNumberFormat="1" applyFont="1" applyFill="1" applyBorder="1" applyAlignment="1" applyProtection="1"/>
    <xf numFmtId="10" fontId="9" fillId="7" borderId="16" xfId="3" applyNumberFormat="1" applyFont="1" applyFill="1" applyBorder="1" applyAlignment="1" applyProtection="1"/>
    <xf numFmtId="165" fontId="9" fillId="2" borderId="16" xfId="2" applyNumberFormat="1" applyFont="1" applyFill="1" applyBorder="1" applyAlignment="1" applyProtection="1"/>
    <xf numFmtId="9" fontId="9" fillId="2" borderId="16" xfId="3" applyNumberFormat="1" applyFont="1" applyFill="1" applyBorder="1" applyAlignment="1" applyProtection="1"/>
    <xf numFmtId="10" fontId="3" fillId="2" borderId="22" xfId="3" applyNumberFormat="1" applyFont="1" applyFill="1" applyBorder="1" applyAlignment="1" applyProtection="1"/>
    <xf numFmtId="44" fontId="9" fillId="7" borderId="16" xfId="2" applyFont="1" applyFill="1" applyBorder="1" applyAlignment="1" applyProtection="1"/>
    <xf numFmtId="10" fontId="9" fillId="7" borderId="16" xfId="2" applyNumberFormat="1" applyFont="1" applyFill="1" applyBorder="1" applyAlignment="1" applyProtection="1"/>
    <xf numFmtId="44" fontId="9" fillId="2" borderId="16" xfId="2" applyFont="1" applyFill="1" applyBorder="1" applyAlignment="1" applyProtection="1"/>
    <xf numFmtId="10" fontId="9" fillId="2" borderId="16" xfId="3" applyNumberFormat="1" applyFont="1" applyFill="1" applyBorder="1" applyAlignment="1" applyProtection="1"/>
    <xf numFmtId="166" fontId="3" fillId="2" borderId="16" xfId="1" applyNumberFormat="1" applyFont="1" applyFill="1" applyBorder="1" applyAlignment="1" applyProtection="1"/>
    <xf numFmtId="43" fontId="9" fillId="7" borderId="22" xfId="1" applyFont="1" applyFill="1" applyBorder="1" applyAlignment="1" applyProtection="1"/>
    <xf numFmtId="165" fontId="9" fillId="2" borderId="22" xfId="2" applyNumberFormat="1" applyFont="1" applyFill="1" applyBorder="1" applyAlignment="1" applyProtection="1"/>
    <xf numFmtId="165" fontId="9" fillId="7" borderId="33" xfId="2" applyNumberFormat="1" applyFont="1" applyFill="1" applyBorder="1" applyAlignment="1" applyProtection="1"/>
    <xf numFmtId="10" fontId="9" fillId="2" borderId="22" xfId="3" applyNumberFormat="1" applyFont="1" applyFill="1" applyBorder="1" applyAlignment="1" applyProtection="1"/>
    <xf numFmtId="44" fontId="9" fillId="0" borderId="16" xfId="2" applyFont="1" applyFill="1" applyBorder="1" applyAlignment="1" applyProtection="1"/>
    <xf numFmtId="165" fontId="9" fillId="0" borderId="16" xfId="2" applyNumberFormat="1" applyFont="1" applyFill="1" applyBorder="1" applyAlignment="1" applyProtection="1"/>
    <xf numFmtId="165" fontId="4" fillId="2" borderId="0" xfId="2" applyNumberFormat="1" applyFont="1" applyFill="1" applyBorder="1" applyAlignment="1" applyProtection="1">
      <alignment vertical="center"/>
    </xf>
    <xf numFmtId="165" fontId="4" fillId="2" borderId="0" xfId="4" applyNumberFormat="1" applyFont="1" applyFill="1" applyBorder="1" applyAlignment="1" applyProtection="1">
      <alignment vertical="center"/>
    </xf>
    <xf numFmtId="165" fontId="3" fillId="2" borderId="0" xfId="4" applyNumberFormat="1" applyFont="1" applyFill="1" applyBorder="1" applyAlignment="1" applyProtection="1">
      <alignment vertical="center"/>
    </xf>
    <xf numFmtId="166" fontId="4" fillId="2" borderId="0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6" borderId="11" xfId="5" applyNumberFormat="1" applyFont="1" applyFill="1" applyBorder="1" applyAlignment="1" applyProtection="1">
      <alignment horizontal="center" vertical="center"/>
      <protection locked="0"/>
    </xf>
    <xf numFmtId="44" fontId="8" fillId="2" borderId="11" xfId="6" applyNumberFormat="1" applyFont="1" applyFill="1" applyBorder="1" applyAlignment="1" applyProtection="1">
      <alignment horizontal="left" vertical="center"/>
    </xf>
    <xf numFmtId="44" fontId="8" fillId="2" borderId="15" xfId="6" applyNumberFormat="1" applyFont="1" applyFill="1" applyBorder="1" applyAlignment="1" applyProtection="1">
      <alignment horizontal="left" vertical="center"/>
    </xf>
    <xf numFmtId="165" fontId="23" fillId="2" borderId="0" xfId="2" applyNumberFormat="1" applyFont="1" applyFill="1" applyBorder="1" applyAlignment="1" applyProtection="1">
      <alignment vertical="center"/>
    </xf>
    <xf numFmtId="165" fontId="23" fillId="2" borderId="0" xfId="4" applyNumberFormat="1" applyFont="1" applyFill="1" applyBorder="1" applyAlignment="1" applyProtection="1">
      <alignment vertical="center"/>
    </xf>
    <xf numFmtId="10" fontId="3" fillId="6" borderId="19" xfId="3" applyNumberFormat="1" applyFont="1" applyFill="1" applyBorder="1" applyAlignment="1" applyProtection="1">
      <alignment horizontal="right" vertical="center"/>
      <protection locked="0"/>
    </xf>
    <xf numFmtId="165" fontId="24" fillId="0" borderId="16" xfId="6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50" xfId="0" applyFont="1" applyFill="1" applyBorder="1" applyAlignment="1" applyProtection="1">
      <alignment horizontal="left" vertical="top" wrapText="1"/>
    </xf>
    <xf numFmtId="0" fontId="8" fillId="2" borderId="47" xfId="0" applyFont="1" applyFill="1" applyBorder="1" applyAlignment="1" applyProtection="1">
      <alignment horizontal="left" vertical="top" wrapText="1"/>
    </xf>
    <xf numFmtId="0" fontId="8" fillId="2" borderId="51" xfId="0" applyFont="1" applyFill="1" applyBorder="1" applyAlignment="1" applyProtection="1">
      <alignment horizontal="left" vertical="top" wrapText="1"/>
    </xf>
    <xf numFmtId="0" fontId="8" fillId="2" borderId="52" xfId="0" applyFont="1" applyFill="1" applyBorder="1" applyAlignment="1" applyProtection="1">
      <alignment horizontal="left" vertical="top" wrapText="1"/>
    </xf>
    <xf numFmtId="0" fontId="8" fillId="2" borderId="53" xfId="0" applyFont="1" applyFill="1" applyBorder="1" applyAlignment="1" applyProtection="1">
      <alignment horizontal="left" vertical="top" wrapText="1"/>
    </xf>
    <xf numFmtId="0" fontId="8" fillId="2" borderId="46" xfId="0" applyFont="1" applyFill="1" applyBorder="1" applyAlignment="1" applyProtection="1">
      <alignment horizontal="left" vertical="top" wrapText="1"/>
    </xf>
    <xf numFmtId="0" fontId="8" fillId="2" borderId="54" xfId="0" applyFont="1" applyFill="1" applyBorder="1" applyAlignment="1" applyProtection="1">
      <alignment horizontal="left" vertical="top" wrapText="1"/>
    </xf>
    <xf numFmtId="0" fontId="8" fillId="2" borderId="3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165" fontId="8" fillId="5" borderId="26" xfId="2" applyNumberFormat="1" applyFont="1" applyFill="1" applyBorder="1" applyProtection="1"/>
    <xf numFmtId="165" fontId="8" fillId="5" borderId="40" xfId="2" applyNumberFormat="1" applyFont="1" applyFill="1" applyBorder="1" applyProtection="1"/>
    <xf numFmtId="165" fontId="8" fillId="5" borderId="44" xfId="2" applyNumberFormat="1" applyFont="1" applyFill="1" applyBorder="1" applyProtection="1"/>
    <xf numFmtId="165" fontId="8" fillId="4" borderId="26" xfId="2" applyNumberFormat="1" applyFont="1" applyFill="1" applyBorder="1" applyProtection="1"/>
    <xf numFmtId="165" fontId="8" fillId="4" borderId="40" xfId="2" applyNumberFormat="1" applyFont="1" applyFill="1" applyBorder="1" applyProtection="1"/>
    <xf numFmtId="165" fontId="8" fillId="4" borderId="44" xfId="2" applyNumberFormat="1" applyFont="1" applyFill="1" applyBorder="1" applyProtection="1"/>
    <xf numFmtId="165" fontId="8" fillId="2" borderId="26" xfId="2" applyNumberFormat="1" applyFont="1" applyFill="1" applyBorder="1" applyProtection="1"/>
    <xf numFmtId="165" fontId="8" fillId="2" borderId="40" xfId="2" applyNumberFormat="1" applyFont="1" applyFill="1" applyBorder="1" applyProtection="1"/>
    <xf numFmtId="165" fontId="8" fillId="2" borderId="44" xfId="2" applyNumberFormat="1" applyFont="1" applyFill="1" applyBorder="1" applyProtection="1"/>
    <xf numFmtId="0" fontId="9" fillId="2" borderId="47" xfId="0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</xf>
    <xf numFmtId="0" fontId="19" fillId="3" borderId="2" xfId="4" applyFont="1" applyFill="1" applyBorder="1" applyAlignment="1" applyProtection="1">
      <alignment horizontal="center" vertical="center"/>
    </xf>
    <xf numFmtId="0" fontId="19" fillId="3" borderId="3" xfId="4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/>
    </xf>
    <xf numFmtId="0" fontId="9" fillId="2" borderId="43" xfId="0" applyFont="1" applyFill="1" applyBorder="1" applyAlignment="1" applyProtection="1">
      <alignment horizontal="center"/>
    </xf>
    <xf numFmtId="0" fontId="12" fillId="3" borderId="1" xfId="4" applyFont="1" applyFill="1" applyBorder="1" applyAlignment="1" applyProtection="1">
      <alignment horizontal="center" vertical="center"/>
    </xf>
    <xf numFmtId="0" fontId="12" fillId="3" borderId="2" xfId="4" applyFont="1" applyFill="1" applyBorder="1" applyAlignment="1" applyProtection="1">
      <alignment horizontal="center" vertical="center"/>
    </xf>
    <xf numFmtId="0" fontId="12" fillId="3" borderId="3" xfId="4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center" wrapText="1"/>
    </xf>
    <xf numFmtId="0" fontId="3" fillId="2" borderId="0" xfId="4" applyFont="1" applyFill="1" applyBorder="1" applyAlignment="1" applyProtection="1">
      <alignment horizontal="center"/>
    </xf>
    <xf numFmtId="0" fontId="22" fillId="2" borderId="0" xfId="4" applyFont="1" applyFill="1" applyBorder="1" applyAlignment="1" applyProtection="1">
      <alignment horizontal="center" vertical="center"/>
    </xf>
    <xf numFmtId="0" fontId="6" fillId="4" borderId="1" xfId="4" applyFont="1" applyFill="1" applyBorder="1" applyAlignment="1" applyProtection="1">
      <alignment horizontal="center" vertical="center"/>
    </xf>
    <xf numFmtId="0" fontId="6" fillId="4" borderId="2" xfId="4" applyFont="1" applyFill="1" applyBorder="1" applyAlignment="1" applyProtection="1">
      <alignment horizontal="center" vertical="center"/>
    </xf>
    <xf numFmtId="0" fontId="6" fillId="4" borderId="21" xfId="4" applyFont="1" applyFill="1" applyBorder="1" applyAlignment="1" applyProtection="1">
      <alignment horizontal="center" vertical="center"/>
    </xf>
    <xf numFmtId="0" fontId="6" fillId="4" borderId="24" xfId="4" applyFont="1" applyFill="1" applyBorder="1" applyAlignment="1" applyProtection="1">
      <alignment horizontal="center" vertical="center" wrapText="1"/>
    </xf>
    <xf numFmtId="0" fontId="6" fillId="4" borderId="2" xfId="4" applyFont="1" applyFill="1" applyBorder="1" applyAlignment="1" applyProtection="1">
      <alignment horizontal="center" vertical="center" wrapText="1"/>
    </xf>
    <xf numFmtId="0" fontId="6" fillId="4" borderId="3" xfId="4" applyFont="1" applyFill="1" applyBorder="1" applyAlignment="1" applyProtection="1">
      <alignment horizontal="center" vertical="center" wrapText="1"/>
    </xf>
    <xf numFmtId="0" fontId="8" fillId="2" borderId="26" xfId="4" applyFont="1" applyFill="1" applyBorder="1" applyAlignment="1" applyProtection="1">
      <alignment horizontal="center" vertical="center"/>
      <protection locked="0"/>
    </xf>
    <xf numFmtId="0" fontId="8" fillId="2" borderId="40" xfId="4" applyFont="1" applyFill="1" applyBorder="1" applyAlignment="1" applyProtection="1">
      <alignment horizontal="center" vertical="center"/>
      <protection locked="0"/>
    </xf>
    <xf numFmtId="0" fontId="8" fillId="2" borderId="44" xfId="4" applyFont="1" applyFill="1" applyBorder="1" applyAlignment="1" applyProtection="1">
      <alignment horizontal="center" vertical="center"/>
      <protection locked="0"/>
    </xf>
    <xf numFmtId="0" fontId="8" fillId="2" borderId="36" xfId="4" applyFont="1" applyFill="1" applyBorder="1" applyAlignment="1" applyProtection="1">
      <alignment horizontal="center" vertical="center"/>
      <protection locked="0"/>
    </xf>
    <xf numFmtId="0" fontId="8" fillId="2" borderId="42" xfId="4" applyFont="1" applyFill="1" applyBorder="1" applyAlignment="1" applyProtection="1">
      <alignment horizontal="center" vertical="center"/>
      <protection locked="0"/>
    </xf>
    <xf numFmtId="0" fontId="8" fillId="2" borderId="45" xfId="4" applyFont="1" applyFill="1" applyBorder="1" applyAlignment="1" applyProtection="1">
      <alignment horizontal="center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8" fillId="2" borderId="38" xfId="4" applyFont="1" applyFill="1" applyBorder="1" applyAlignment="1" applyProtection="1">
      <alignment horizontal="center" vertical="center"/>
      <protection locked="0"/>
    </xf>
    <xf numFmtId="0" fontId="8" fillId="2" borderId="43" xfId="4" applyFont="1" applyFill="1" applyBorder="1" applyAlignment="1" applyProtection="1">
      <alignment horizontal="center" vertical="center"/>
      <protection locked="0"/>
    </xf>
    <xf numFmtId="44" fontId="9" fillId="2" borderId="36" xfId="2" applyFont="1" applyFill="1" applyBorder="1" applyAlignment="1" applyProtection="1">
      <alignment horizontal="right"/>
    </xf>
    <xf numFmtId="44" fontId="9" fillId="2" borderId="45" xfId="2" applyFont="1" applyFill="1" applyBorder="1" applyAlignment="1" applyProtection="1">
      <alignment horizontal="right"/>
    </xf>
    <xf numFmtId="44" fontId="9" fillId="2" borderId="26" xfId="2" applyFont="1" applyFill="1" applyBorder="1" applyAlignment="1" applyProtection="1">
      <alignment horizontal="right"/>
    </xf>
    <xf numFmtId="44" fontId="9" fillId="2" borderId="44" xfId="2" applyFont="1" applyFill="1" applyBorder="1" applyAlignment="1" applyProtection="1">
      <alignment horizontal="right"/>
    </xf>
    <xf numFmtId="10" fontId="9" fillId="2" borderId="26" xfId="3" applyNumberFormat="1" applyFont="1" applyFill="1" applyBorder="1" applyAlignment="1" applyProtection="1">
      <alignment horizontal="right"/>
    </xf>
    <xf numFmtId="10" fontId="9" fillId="2" borderId="44" xfId="3" applyNumberFormat="1" applyFont="1" applyFill="1" applyBorder="1" applyAlignment="1" applyProtection="1">
      <alignment horizontal="right"/>
    </xf>
    <xf numFmtId="44" fontId="9" fillId="2" borderId="26" xfId="2" applyFont="1" applyFill="1" applyBorder="1" applyAlignment="1" applyProtection="1">
      <alignment horizontal="center"/>
    </xf>
    <xf numFmtId="44" fontId="9" fillId="2" borderId="44" xfId="2" applyFont="1" applyFill="1" applyBorder="1" applyAlignment="1" applyProtection="1">
      <alignment horizontal="center"/>
    </xf>
    <xf numFmtId="165" fontId="9" fillId="2" borderId="26" xfId="2" applyNumberFormat="1" applyFont="1" applyFill="1" applyBorder="1" applyAlignment="1" applyProtection="1">
      <alignment horizontal="center"/>
    </xf>
    <xf numFmtId="165" fontId="9" fillId="2" borderId="44" xfId="2" applyNumberFormat="1" applyFont="1" applyFill="1" applyBorder="1" applyAlignment="1" applyProtection="1">
      <alignment horizontal="center"/>
    </xf>
    <xf numFmtId="43" fontId="3" fillId="2" borderId="26" xfId="1" applyFont="1" applyFill="1" applyBorder="1" applyAlignment="1" applyProtection="1">
      <alignment horizontal="center"/>
    </xf>
    <xf numFmtId="43" fontId="3" fillId="2" borderId="44" xfId="1" applyFont="1" applyFill="1" applyBorder="1" applyAlignment="1" applyProtection="1">
      <alignment horizontal="center"/>
    </xf>
    <xf numFmtId="166" fontId="3" fillId="2" borderId="26" xfId="1" applyNumberFormat="1" applyFont="1" applyFill="1" applyBorder="1" applyAlignment="1" applyProtection="1">
      <alignment horizontal="center"/>
    </xf>
    <xf numFmtId="166" fontId="3" fillId="2" borderId="44" xfId="1" applyNumberFormat="1" applyFont="1" applyFill="1" applyBorder="1" applyAlignment="1" applyProtection="1">
      <alignment horizontal="center"/>
    </xf>
    <xf numFmtId="0" fontId="8" fillId="2" borderId="16" xfId="2" applyNumberFormat="1" applyFont="1" applyFill="1" applyBorder="1" applyAlignment="1" applyProtection="1"/>
    <xf numFmtId="0" fontId="9" fillId="7" borderId="16" xfId="2" applyNumberFormat="1" applyFont="1" applyFill="1" applyBorder="1" applyAlignment="1" applyProtection="1"/>
    <xf numFmtId="0" fontId="9" fillId="0" borderId="22" xfId="2" applyNumberFormat="1" applyFont="1" applyFill="1" applyBorder="1" applyAlignment="1" applyProtection="1"/>
    <xf numFmtId="0" fontId="9" fillId="2" borderId="15" xfId="2" applyNumberFormat="1" applyFont="1" applyFill="1" applyBorder="1" applyProtection="1"/>
  </cellXfs>
  <cellStyles count="7">
    <cellStyle name="Comma" xfId="1" builtinId="3"/>
    <cellStyle name="Comma 7" xfId="5"/>
    <cellStyle name="Currency" xfId="2" builtinId="4"/>
    <cellStyle name="Currency 6" xfId="6"/>
    <cellStyle name="Normal" xfId="0" builtinId="0"/>
    <cellStyle name="Normal 49" xfId="4"/>
    <cellStyle name="Percent" xfId="3" builtinId="5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87285</xdr:colOff>
      <xdr:row>3</xdr:row>
      <xdr:rowOff>86648</xdr:rowOff>
    </xdr:from>
    <xdr:to>
      <xdr:col>9</xdr:col>
      <xdr:colOff>463827</xdr:colOff>
      <xdr:row>14</xdr:row>
      <xdr:rowOff>157369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EF9393C-4FF9-4504-8630-B57F775FFB2B}"/>
            </a:ext>
          </a:extLst>
        </xdr:cNvPr>
        <xdr:cNvSpPr txBox="1"/>
      </xdr:nvSpPr>
      <xdr:spPr>
        <a:xfrm>
          <a:off x="4651002" y="608452"/>
          <a:ext cx="5031368" cy="1992287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u="sng">
              <a:solidFill>
                <a:sysClr val="windowText" lastClr="000000"/>
              </a:solidFill>
            </a:rPr>
            <a:t>MODEL NOTES:</a:t>
          </a:r>
        </a:p>
        <a:p>
          <a:pPr algn="l"/>
          <a:r>
            <a:rPr lang="en-US" sz="1000" b="1">
              <a:solidFill>
                <a:srgbClr val="FF0000"/>
              </a:solidFill>
            </a:rPr>
            <a:t> </a:t>
          </a:r>
          <a:r>
            <a:rPr lang="en-US" sz="1000" b="1">
              <a:solidFill>
                <a:sysClr val="windowText" lastClr="000000"/>
              </a:solidFill>
            </a:rPr>
            <a:t> </a:t>
          </a:r>
          <a:r>
            <a:rPr lang="en-US" sz="1000" b="1">
              <a:solidFill>
                <a:srgbClr val="FF0000"/>
              </a:solidFill>
            </a:rPr>
            <a:t>(1) </a:t>
          </a:r>
          <a:r>
            <a:rPr lang="en-US" sz="1000" b="1">
              <a:solidFill>
                <a:sysClr val="windowText" lastClr="000000"/>
              </a:solidFill>
            </a:rPr>
            <a:t>Inputs are in</a:t>
          </a:r>
          <a:r>
            <a:rPr lang="en-US" sz="1000" b="1" baseline="0">
              <a:solidFill>
                <a:sysClr val="windowText" lastClr="000000"/>
              </a:solidFill>
            </a:rPr>
            <a:t> </a:t>
          </a:r>
          <a:r>
            <a:rPr lang="en-US" sz="1000" b="1" u="sng" baseline="0">
              <a:solidFill>
                <a:srgbClr val="0000FF"/>
              </a:solidFill>
            </a:rPr>
            <a:t>BLUE</a:t>
          </a:r>
          <a:r>
            <a:rPr lang="en-US" sz="1000" b="1" baseline="0">
              <a:solidFill>
                <a:sysClr val="windowText" lastClr="000000"/>
              </a:solidFill>
            </a:rPr>
            <a:t>!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 </a:t>
          </a:r>
          <a:r>
            <a:rPr lang="en-US" sz="1000" b="1" baseline="0">
              <a:solidFill>
                <a:srgbClr val="FF0000"/>
              </a:solidFill>
            </a:rPr>
            <a:t>(2) </a:t>
          </a:r>
          <a:r>
            <a:rPr lang="en-US" sz="1000" b="1" baseline="0">
              <a:solidFill>
                <a:sysClr val="windowText" lastClr="000000"/>
              </a:solidFill>
            </a:rPr>
            <a:t>Start with the </a:t>
          </a:r>
          <a:r>
            <a:rPr lang="en-US" sz="1000" b="1" u="sng" baseline="0">
              <a:solidFill>
                <a:sysClr val="windowText" lastClr="000000"/>
              </a:solidFill>
            </a:rPr>
            <a:t>Project Budget</a:t>
          </a:r>
          <a:r>
            <a:rPr lang="en-US" sz="1000" b="1" baseline="0">
              <a:solidFill>
                <a:sysClr val="windowText" lastClr="000000"/>
              </a:solidFill>
            </a:rPr>
            <a:t>.  Design your site plan and building plan, then input your costs into the budget.  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</a:t>
          </a:r>
          <a:r>
            <a:rPr lang="en-US" sz="1000" b="1" baseline="0">
              <a:solidFill>
                <a:srgbClr val="FF0000"/>
              </a:solidFill>
            </a:rPr>
            <a:t> (3) </a:t>
          </a:r>
          <a:r>
            <a:rPr lang="en-US" sz="1000" b="1" baseline="0">
              <a:solidFill>
                <a:sysClr val="windowText" lastClr="000000"/>
              </a:solidFill>
            </a:rPr>
            <a:t>Once you have established your budget, then move on to Market Assumptions.  Based on the square footage you create in your building, you should generate revenue.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</a:t>
          </a:r>
          <a:r>
            <a:rPr lang="en-US" sz="1000" b="1" baseline="0">
              <a:solidFill>
                <a:srgbClr val="FF0000"/>
              </a:solidFill>
            </a:rPr>
            <a:t> (4) </a:t>
          </a:r>
          <a:r>
            <a:rPr lang="en-US" sz="1000" b="1" baseline="0">
              <a:solidFill>
                <a:sysClr val="windowText" lastClr="000000"/>
              </a:solidFill>
            </a:rPr>
            <a:t>The goal is to produce a successful (and profitable) project.  After you have set your </a:t>
          </a:r>
          <a:r>
            <a:rPr lang="en-US" sz="1000" b="1" u="sng" baseline="0">
              <a:solidFill>
                <a:sysClr val="windowText" lastClr="000000"/>
              </a:solidFill>
            </a:rPr>
            <a:t>Budget</a:t>
          </a:r>
          <a:r>
            <a:rPr lang="en-US" sz="1000" b="1" baseline="0">
              <a:solidFill>
                <a:sysClr val="windowText" lastClr="000000"/>
              </a:solidFill>
            </a:rPr>
            <a:t> and worked through your </a:t>
          </a:r>
          <a:r>
            <a:rPr lang="en-US" sz="1000" b="1" u="sng" baseline="0">
              <a:solidFill>
                <a:sysClr val="windowText" lastClr="000000"/>
              </a:solidFill>
            </a:rPr>
            <a:t>Market Assumptions</a:t>
          </a:r>
          <a:r>
            <a:rPr lang="en-US" sz="1000" b="1" baseline="0">
              <a:solidFill>
                <a:sysClr val="windowText" lastClr="000000"/>
              </a:solidFill>
            </a:rPr>
            <a:t>, review your project's profitability in the </a:t>
          </a:r>
          <a:r>
            <a:rPr lang="en-US" sz="1000" b="1" u="sng" baseline="0">
              <a:solidFill>
                <a:sysClr val="windowText" lastClr="000000"/>
              </a:solidFill>
            </a:rPr>
            <a:t>Summary</a:t>
          </a:r>
          <a:r>
            <a:rPr lang="en-US" sz="1000" b="1" u="none" baseline="0">
              <a:solidFill>
                <a:sysClr val="windowText" lastClr="000000"/>
              </a:solidFill>
            </a:rPr>
            <a:t>. </a:t>
          </a:r>
        </a:p>
        <a:p>
          <a:pPr algn="l"/>
          <a:r>
            <a:rPr lang="en-US" sz="1000" b="1" u="none" baseline="0">
              <a:solidFill>
                <a:srgbClr val="FF0000"/>
              </a:solidFill>
            </a:rPr>
            <a:t>  (5) </a:t>
          </a:r>
          <a:r>
            <a:rPr lang="en-US" sz="1000" b="1" u="none" baseline="0">
              <a:solidFill>
                <a:sysClr val="windowText" lastClr="000000"/>
              </a:solidFill>
            </a:rPr>
            <a:t>Revise budgets and market assumptions based on your findings in the </a:t>
          </a:r>
          <a:r>
            <a:rPr lang="en-US" sz="1000" b="1" u="sng" baseline="0">
              <a:solidFill>
                <a:sysClr val="windowText" lastClr="000000"/>
              </a:solidFill>
            </a:rPr>
            <a:t>Summary</a:t>
          </a:r>
          <a:r>
            <a:rPr lang="en-US" sz="1000" b="1" u="none" baseline="0">
              <a:solidFill>
                <a:sysClr val="windowText" lastClr="000000"/>
              </a:solidFill>
            </a:rPr>
            <a:t>.  Remember, the end goal is to have a profitable project.</a:t>
          </a:r>
        </a:p>
        <a:p>
          <a:pPr algn="l"/>
          <a:r>
            <a:rPr lang="en-US" sz="1000" b="1" u="none" baseline="0">
              <a:solidFill>
                <a:sysClr val="windowText" lastClr="000000"/>
              </a:solidFill>
            </a:rPr>
            <a:t>  </a:t>
          </a:r>
          <a:r>
            <a:rPr lang="en-US" sz="1000" b="1" u="none" baseline="0">
              <a:solidFill>
                <a:srgbClr val="FF0000"/>
              </a:solidFill>
            </a:rPr>
            <a:t>(6)</a:t>
          </a:r>
          <a:r>
            <a:rPr lang="en-US" sz="1000" b="1" u="none" baseline="0">
              <a:solidFill>
                <a:sysClr val="windowText" lastClr="000000"/>
              </a:solidFill>
            </a:rPr>
            <a:t> Become comfortable with this spreadsheet before you arrive at the competition.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2</xdr:row>
      <xdr:rowOff>78685</xdr:rowOff>
    </xdr:from>
    <xdr:ext cx="2375037" cy="979703"/>
    <xdr:pic>
      <xdr:nvPicPr>
        <xdr:cNvPr id="2" name="Picture 1" descr="The Real Estate Council of Greater Fort Worth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7" b="10833"/>
        <a:stretch/>
      </xdr:blipFill>
      <xdr:spPr bwMode="auto">
        <a:xfrm>
          <a:off x="5572125" y="402535"/>
          <a:ext cx="2375037" cy="97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410306</xdr:colOff>
      <xdr:row>1</xdr:row>
      <xdr:rowOff>161192</xdr:rowOff>
    </xdr:from>
    <xdr:to>
      <xdr:col>11</xdr:col>
      <xdr:colOff>153865</xdr:colOff>
      <xdr:row>9</xdr:row>
      <xdr:rowOff>153866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9A9BDE9-0F9B-4169-A0B0-8C8568722A74}"/>
            </a:ext>
          </a:extLst>
        </xdr:cNvPr>
        <xdr:cNvSpPr txBox="1"/>
      </xdr:nvSpPr>
      <xdr:spPr>
        <a:xfrm>
          <a:off x="8403979" y="322384"/>
          <a:ext cx="2176098" cy="1428751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u="sng">
              <a:solidFill>
                <a:sysClr val="windowText" lastClr="000000"/>
              </a:solidFill>
            </a:rPr>
            <a:t>MODEL NOTES:</a:t>
          </a:r>
        </a:p>
        <a:p>
          <a:pPr algn="l"/>
          <a:r>
            <a:rPr lang="en-US" sz="1000" b="1">
              <a:solidFill>
                <a:srgbClr val="FF0000"/>
              </a:solidFill>
            </a:rPr>
            <a:t> </a:t>
          </a:r>
          <a:r>
            <a:rPr lang="en-US" sz="1000" b="1">
              <a:solidFill>
                <a:sysClr val="windowText" lastClr="000000"/>
              </a:solidFill>
            </a:rPr>
            <a:t> (1) </a:t>
          </a:r>
          <a:r>
            <a:rPr lang="en-US" sz="1000" b="1">
              <a:solidFill>
                <a:srgbClr val="FF0000"/>
              </a:solidFill>
            </a:rPr>
            <a:t>Inputs are in</a:t>
          </a:r>
          <a:r>
            <a:rPr lang="en-US" sz="1000" b="1" baseline="0">
              <a:solidFill>
                <a:srgbClr val="FF0000"/>
              </a:solidFill>
            </a:rPr>
            <a:t> </a:t>
          </a:r>
          <a:r>
            <a:rPr lang="en-US" sz="1000" b="1" u="sng" baseline="0">
              <a:solidFill>
                <a:srgbClr val="0000FF"/>
              </a:solidFill>
            </a:rPr>
            <a:t>BLUE</a:t>
          </a:r>
          <a:r>
            <a:rPr lang="en-US" sz="1000" b="1" baseline="0">
              <a:solidFill>
                <a:srgbClr val="FF0000"/>
              </a:solidFill>
            </a:rPr>
            <a:t>!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 (2) </a:t>
          </a:r>
          <a:r>
            <a:rPr lang="en-US" sz="1000" b="1" baseline="0">
              <a:solidFill>
                <a:srgbClr val="FF0000"/>
              </a:solidFill>
            </a:rPr>
            <a:t>Total SF represents building square footage.  This pulls from Market Assumptions.</a:t>
          </a:r>
          <a:endParaRPr lang="en-US" sz="1000" b="1" baseline="0">
            <a:solidFill>
              <a:sysClr val="windowText" lastClr="000000"/>
            </a:solidFill>
          </a:endParaRP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 (3) </a:t>
          </a:r>
          <a:r>
            <a:rPr lang="en-US" sz="1000" b="1">
              <a:solidFill>
                <a:srgbClr val="FF0000"/>
              </a:solidFill>
            </a:rPr>
            <a:t>This is the only page you will input Team</a:t>
          </a:r>
          <a:r>
            <a:rPr lang="en-US" sz="1000" b="1" baseline="0">
              <a:solidFill>
                <a:srgbClr val="FF0000"/>
              </a:solidFill>
            </a:rPr>
            <a:t> Name, Acerage, Member Names and Executive Summary.</a:t>
          </a:r>
          <a:endParaRPr lang="en-US" sz="10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317213</xdr:colOff>
      <xdr:row>1</xdr:row>
      <xdr:rowOff>57150</xdr:rowOff>
    </xdr:from>
    <xdr:ext cx="2378362" cy="981075"/>
    <xdr:pic>
      <xdr:nvPicPr>
        <xdr:cNvPr id="2" name="Picture 1" descr="The Real Estate Council of Greater Fort Worth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7" b="10833"/>
        <a:stretch/>
      </xdr:blipFill>
      <xdr:spPr bwMode="auto">
        <a:xfrm>
          <a:off x="5660738" y="219075"/>
          <a:ext cx="2378362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1361</xdr:colOff>
      <xdr:row>1</xdr:row>
      <xdr:rowOff>19049</xdr:rowOff>
    </xdr:from>
    <xdr:to>
      <xdr:col>13</xdr:col>
      <xdr:colOff>446315</xdr:colOff>
      <xdr:row>10</xdr:row>
      <xdr:rowOff>48985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90832" y="182335"/>
          <a:ext cx="1664154" cy="1548493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u="sng">
              <a:solidFill>
                <a:sysClr val="windowText" lastClr="000000"/>
              </a:solidFill>
            </a:rPr>
            <a:t>MODEL NOTES:</a:t>
          </a:r>
        </a:p>
        <a:p>
          <a:pPr algn="l"/>
          <a:r>
            <a:rPr lang="en-US" sz="1000" b="1">
              <a:solidFill>
                <a:srgbClr val="FF0000"/>
              </a:solidFill>
            </a:rPr>
            <a:t> </a:t>
          </a:r>
          <a:r>
            <a:rPr lang="en-US" sz="1000" b="1">
              <a:solidFill>
                <a:sysClr val="windowText" lastClr="000000"/>
              </a:solidFill>
            </a:rPr>
            <a:t> (1) </a:t>
          </a:r>
          <a:r>
            <a:rPr lang="en-US" sz="1000" b="1">
              <a:solidFill>
                <a:srgbClr val="FF0000"/>
              </a:solidFill>
            </a:rPr>
            <a:t>This</a:t>
          </a:r>
          <a:r>
            <a:rPr lang="en-US" sz="1000" b="1" baseline="0">
              <a:solidFill>
                <a:srgbClr val="FF0000"/>
              </a:solidFill>
            </a:rPr>
            <a:t> page is a summary page.  All cells pull from other tabs to provide an overview.</a:t>
          </a:r>
          <a:endParaRPr lang="en-US" sz="1000" b="1">
            <a:solidFill>
              <a:sysClr val="windowText" lastClr="000000"/>
            </a:solidFill>
          </a:endParaRPr>
        </a:p>
        <a:p>
          <a:pPr algn="l"/>
          <a:r>
            <a:rPr lang="en-US" sz="1000" b="1">
              <a:solidFill>
                <a:sysClr val="windowText" lastClr="000000"/>
              </a:solidFill>
            </a:rPr>
            <a:t>  (2) </a:t>
          </a:r>
          <a:r>
            <a:rPr lang="en-US" sz="1000" b="1">
              <a:solidFill>
                <a:srgbClr val="FF0000"/>
              </a:solidFill>
            </a:rPr>
            <a:t>Inputs are in</a:t>
          </a:r>
          <a:r>
            <a:rPr lang="en-US" sz="1000" b="1" baseline="0">
              <a:solidFill>
                <a:srgbClr val="FF0000"/>
              </a:solidFill>
            </a:rPr>
            <a:t> </a:t>
          </a:r>
          <a:r>
            <a:rPr lang="en-US" sz="1000" b="1" u="sng" baseline="0">
              <a:solidFill>
                <a:srgbClr val="0000FF"/>
              </a:solidFill>
            </a:rPr>
            <a:t>BLUE</a:t>
          </a:r>
          <a:r>
            <a:rPr lang="en-US" sz="1000" b="1" baseline="0">
              <a:solidFill>
                <a:srgbClr val="FF0000"/>
              </a:solidFill>
            </a:rPr>
            <a:t>!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  (3) </a:t>
          </a:r>
          <a:r>
            <a:rPr lang="en-US" sz="1000" b="1">
              <a:solidFill>
                <a:srgbClr val="FF0000"/>
              </a:solidFill>
            </a:rPr>
            <a:t>The</a:t>
          </a:r>
          <a:r>
            <a:rPr lang="en-US" sz="1000" b="1" baseline="0">
              <a:solidFill>
                <a:srgbClr val="FF0000"/>
              </a:solidFill>
            </a:rPr>
            <a:t> only inputs on this tab are for adjusting line 52 for the Cap Rate.</a:t>
          </a:r>
          <a:endParaRPr lang="en-US" sz="10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486508</xdr:colOff>
      <xdr:row>0</xdr:row>
      <xdr:rowOff>149225</xdr:rowOff>
    </xdr:from>
    <xdr:to>
      <xdr:col>11</xdr:col>
      <xdr:colOff>342168</xdr:colOff>
      <xdr:row>7</xdr:row>
      <xdr:rowOff>109903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87508" y="149225"/>
          <a:ext cx="2288198" cy="1235563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u="sng">
              <a:solidFill>
                <a:sysClr val="windowText" lastClr="000000"/>
              </a:solidFill>
            </a:rPr>
            <a:t>MODEL NOTES:</a:t>
          </a:r>
        </a:p>
        <a:p>
          <a:pPr algn="l"/>
          <a:r>
            <a:rPr lang="en-US" sz="1000" b="1">
              <a:solidFill>
                <a:srgbClr val="FF0000"/>
              </a:solidFill>
            </a:rPr>
            <a:t> </a:t>
          </a:r>
          <a:r>
            <a:rPr lang="en-US" sz="1000" b="1">
              <a:solidFill>
                <a:sysClr val="windowText" lastClr="000000"/>
              </a:solidFill>
            </a:rPr>
            <a:t> (1) </a:t>
          </a:r>
          <a:r>
            <a:rPr lang="en-US" sz="1000" b="1">
              <a:solidFill>
                <a:srgbClr val="FF0000"/>
              </a:solidFill>
            </a:rPr>
            <a:t>Inputs</a:t>
          </a:r>
          <a:r>
            <a:rPr lang="en-US" sz="1000" b="1" baseline="0">
              <a:solidFill>
                <a:srgbClr val="FF0000"/>
              </a:solidFill>
            </a:rPr>
            <a:t> are in </a:t>
          </a:r>
          <a:r>
            <a:rPr lang="en-US" sz="1000" b="1" baseline="0">
              <a:solidFill>
                <a:srgbClr val="0000FF"/>
              </a:solidFill>
            </a:rPr>
            <a:t>BLUE</a:t>
          </a:r>
          <a:r>
            <a:rPr lang="en-US" sz="1000" b="1" baseline="0">
              <a:solidFill>
                <a:srgbClr val="FF0000"/>
              </a:solidFill>
            </a:rPr>
            <a:t>!</a:t>
          </a:r>
          <a:endParaRPr lang="en-US" sz="1000" b="1">
            <a:solidFill>
              <a:srgbClr val="FF0000"/>
            </a:solidFill>
          </a:endParaRPr>
        </a:p>
        <a:p>
          <a:pPr algn="l"/>
          <a:r>
            <a:rPr lang="en-US" sz="1000" b="1">
              <a:solidFill>
                <a:srgbClr val="FF0000"/>
              </a:solidFill>
            </a:rPr>
            <a:t> </a:t>
          </a:r>
          <a:r>
            <a:rPr lang="en-US" sz="1000" b="1">
              <a:solidFill>
                <a:sysClr val="windowText" lastClr="000000"/>
              </a:solidFill>
            </a:rPr>
            <a:t> (2) </a:t>
          </a:r>
          <a:r>
            <a:rPr lang="en-US" sz="1000" b="1" u="sng">
              <a:solidFill>
                <a:srgbClr val="FF0000"/>
              </a:solidFill>
            </a:rPr>
            <a:t>Add</a:t>
          </a:r>
          <a:r>
            <a:rPr lang="en-US" sz="1000" b="1" u="sng" baseline="0">
              <a:solidFill>
                <a:srgbClr val="FF0000"/>
              </a:solidFill>
            </a:rPr>
            <a:t> rows as needed.</a:t>
          </a:r>
        </a:p>
        <a:p>
          <a:pPr algn="l"/>
          <a:r>
            <a:rPr lang="en-US" sz="1000" b="1" baseline="0">
              <a:solidFill>
                <a:srgbClr val="FF0000"/>
              </a:solidFill>
            </a:rPr>
            <a:t> </a:t>
          </a:r>
          <a:r>
            <a:rPr lang="en-US" sz="1000" b="1" baseline="0">
              <a:solidFill>
                <a:sysClr val="windowText" lastClr="000000"/>
              </a:solidFill>
            </a:rPr>
            <a:t> (3) </a:t>
          </a:r>
          <a:r>
            <a:rPr lang="en-US" sz="1000" b="1" baseline="0">
              <a:solidFill>
                <a:srgbClr val="FF0000"/>
              </a:solidFill>
            </a:rPr>
            <a:t>Typical ranges for inputs are provided in column J and are for reference only.  Be able to back up your selection for the inputs in this tab.</a:t>
          </a:r>
        </a:p>
      </xdr:txBody>
    </xdr:sp>
    <xdr:clientData/>
  </xdr:twoCellAnchor>
  <xdr:oneCellAnchor>
    <xdr:from>
      <xdr:col>5</xdr:col>
      <xdr:colOff>21936</xdr:colOff>
      <xdr:row>1</xdr:row>
      <xdr:rowOff>57150</xdr:rowOff>
    </xdr:from>
    <xdr:ext cx="2378364" cy="981075"/>
    <xdr:pic>
      <xdr:nvPicPr>
        <xdr:cNvPr id="3" name="Picture 2" descr="The Real Estate Council of Greater Fort Worth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7" b="10833"/>
        <a:stretch/>
      </xdr:blipFill>
      <xdr:spPr bwMode="auto">
        <a:xfrm>
          <a:off x="5422611" y="219075"/>
          <a:ext cx="2378364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16120</xdr:colOff>
      <xdr:row>17</xdr:row>
      <xdr:rowOff>92320</xdr:rowOff>
    </xdr:from>
    <xdr:to>
      <xdr:col>18</xdr:col>
      <xdr:colOff>718771</xdr:colOff>
      <xdr:row>34</xdr:row>
      <xdr:rowOff>108440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416562" y="2891205"/>
          <a:ext cx="3530844" cy="2741735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 u="sng">
              <a:solidFill>
                <a:sysClr val="windowText" lastClr="000000"/>
              </a:solidFill>
            </a:rPr>
            <a:t>MODEL NOTES:</a:t>
          </a:r>
        </a:p>
        <a:p>
          <a:pPr algn="l"/>
          <a:r>
            <a:rPr lang="en-US" sz="1000" b="1">
              <a:solidFill>
                <a:sysClr val="windowText" lastClr="000000"/>
              </a:solidFill>
            </a:rPr>
            <a:t>(1) </a:t>
          </a:r>
          <a:r>
            <a:rPr lang="en-US" sz="1000" b="1">
              <a:solidFill>
                <a:srgbClr val="FF0000"/>
              </a:solidFill>
            </a:rPr>
            <a:t>Enter</a:t>
          </a:r>
          <a:r>
            <a:rPr lang="en-US" sz="1000" b="1" baseline="0">
              <a:solidFill>
                <a:srgbClr val="FF0000"/>
              </a:solidFill>
            </a:rPr>
            <a:t> lease assumptions for each product type: Retail / Entertainment, Office, Industrial, &amp; Hospitality. Feel free to use one of the spaces for any other specialty product that does not fit under these designations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(2) </a:t>
          </a:r>
          <a:r>
            <a:rPr lang="en-US" sz="1000" b="1" baseline="0">
              <a:solidFill>
                <a:srgbClr val="FF0000"/>
              </a:solidFill>
            </a:rPr>
            <a:t>Model will hold a max lease term of 20 years. Rent calculations to the right are for calculating commissions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(3) </a:t>
          </a:r>
          <a:r>
            <a:rPr lang="en-US" sz="1000" b="1" baseline="0">
              <a:solidFill>
                <a:srgbClr val="FF0000"/>
              </a:solidFill>
            </a:rPr>
            <a:t>Rent growth: No growth, 2% annual bumps, or flat rent for 5 years and a 10% bump in the 6th, 11th, and 16th years (if the term is that long)</a:t>
          </a:r>
        </a:p>
        <a:p>
          <a:pPr algn="l"/>
          <a:r>
            <a:rPr lang="en-US" sz="1000" b="1">
              <a:solidFill>
                <a:sysClr val="windowText" lastClr="000000"/>
              </a:solidFill>
            </a:rPr>
            <a:t>(4) </a:t>
          </a:r>
          <a:r>
            <a:rPr lang="en-US" sz="1000" b="1">
              <a:solidFill>
                <a:srgbClr val="FF0000"/>
              </a:solidFill>
            </a:rPr>
            <a:t>Lease Type: NNN assumes all operating</a:t>
          </a:r>
          <a:r>
            <a:rPr lang="en-US" sz="1000" b="1" baseline="0">
              <a:solidFill>
                <a:srgbClr val="FF0000"/>
              </a:solidFill>
            </a:rPr>
            <a:t> expenses are reimbursed by tenant; Gross assumes no reimbursed espenses by tenant</a:t>
          </a:r>
        </a:p>
        <a:p>
          <a:pPr algn="l"/>
          <a:r>
            <a:rPr lang="en-US" sz="1000" b="1" baseline="0">
              <a:solidFill>
                <a:sysClr val="windowText" lastClr="000000"/>
              </a:solidFill>
            </a:rPr>
            <a:t>(5) </a:t>
          </a:r>
          <a:r>
            <a:rPr lang="en-US" sz="1000" b="1" baseline="0">
              <a:solidFill>
                <a:srgbClr val="FF0000"/>
              </a:solidFill>
            </a:rPr>
            <a:t>Enter other income, expense, and capital reserve assumptions in lower table; make any notes necessary</a:t>
          </a:r>
          <a:endParaRPr lang="en-US" sz="1000" b="1">
            <a:solidFill>
              <a:srgbClr val="FF0000"/>
            </a:solidFill>
          </a:endParaRPr>
        </a:p>
        <a:p>
          <a:pPr algn="l"/>
          <a:endParaRPr lang="en-US" sz="1000" b="1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305088</xdr:colOff>
      <xdr:row>1</xdr:row>
      <xdr:rowOff>57149</xdr:rowOff>
    </xdr:from>
    <xdr:ext cx="2447638" cy="1009651"/>
    <xdr:pic>
      <xdr:nvPicPr>
        <xdr:cNvPr id="3" name="Picture 2" descr="The Real Estate Council of Greater Fort Worth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7" b="10833"/>
        <a:stretch/>
      </xdr:blipFill>
      <xdr:spPr bwMode="auto">
        <a:xfrm>
          <a:off x="6658263" y="219074"/>
          <a:ext cx="2447638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638174</xdr:colOff>
      <xdr:row>2</xdr:row>
      <xdr:rowOff>85725</xdr:rowOff>
    </xdr:from>
    <xdr:ext cx="2078178" cy="857249"/>
    <xdr:pic>
      <xdr:nvPicPr>
        <xdr:cNvPr id="2" name="Picture 1" descr="The Real Estate Council of Greater Fort Worth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7" b="10833"/>
        <a:stretch/>
      </xdr:blipFill>
      <xdr:spPr bwMode="auto">
        <a:xfrm>
          <a:off x="3333749" y="438150"/>
          <a:ext cx="2078178" cy="857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C3:O56"/>
  <sheetViews>
    <sheetView topLeftCell="A31" zoomScale="115" zoomScaleNormal="115" zoomScaleSheetLayoutView="130" workbookViewId="0">
      <selection activeCell="H19" sqref="H19"/>
    </sheetView>
  </sheetViews>
  <sheetFormatPr defaultRowHeight="12.75" x14ac:dyDescent="0.2"/>
  <cols>
    <col min="1" max="2" width="9.140625" style="114"/>
    <col min="3" max="3" width="13.7109375" style="114" customWidth="1"/>
    <col min="4" max="4" width="10.7109375" style="114" customWidth="1"/>
    <col min="5" max="7" width="25.7109375" style="114" customWidth="1"/>
    <col min="8" max="16384" width="9.140625" style="114"/>
  </cols>
  <sheetData>
    <row r="3" spans="3:15" s="2" customFormat="1" ht="15" x14ac:dyDescent="0.25">
      <c r="C3" s="1"/>
      <c r="D3" s="1"/>
      <c r="O3" s="3"/>
    </row>
    <row r="4" spans="3:15" s="2" customFormat="1" ht="15" x14ac:dyDescent="0.25">
      <c r="C4" s="1"/>
      <c r="D4" s="4"/>
      <c r="O4" s="3"/>
    </row>
    <row r="5" spans="3:15" s="2" customFormat="1" ht="15" x14ac:dyDescent="0.25">
      <c r="C5" s="1"/>
      <c r="D5" s="5"/>
      <c r="O5" s="3"/>
    </row>
    <row r="6" spans="3:15" s="2" customFormat="1" ht="15" x14ac:dyDescent="0.25">
      <c r="C6" s="1"/>
      <c r="D6" s="177"/>
      <c r="O6" s="3"/>
    </row>
    <row r="7" spans="3:15" s="2" customFormat="1" ht="15" x14ac:dyDescent="0.25">
      <c r="C7" s="1"/>
      <c r="D7" s="6"/>
      <c r="O7" s="3"/>
    </row>
    <row r="8" spans="3:15" s="2" customFormat="1" x14ac:dyDescent="0.25">
      <c r="O8" s="3"/>
    </row>
    <row r="9" spans="3:15" s="2" customFormat="1" x14ac:dyDescent="0.25">
      <c r="C9" s="153"/>
      <c r="D9" s="148"/>
      <c r="E9" s="149"/>
      <c r="O9" s="3"/>
    </row>
    <row r="10" spans="3:15" s="2" customFormat="1" x14ac:dyDescent="0.25">
      <c r="D10" s="148"/>
      <c r="E10" s="149"/>
      <c r="O10" s="3"/>
    </row>
    <row r="11" spans="3:15" s="2" customFormat="1" x14ac:dyDescent="0.25">
      <c r="D11" s="148"/>
      <c r="E11" s="149"/>
      <c r="O11" s="3"/>
    </row>
    <row r="12" spans="3:15" s="2" customFormat="1" x14ac:dyDescent="0.25">
      <c r="D12" s="148"/>
      <c r="E12" s="149"/>
      <c r="O12" s="3"/>
    </row>
    <row r="13" spans="3:15" s="2" customFormat="1" x14ac:dyDescent="0.25">
      <c r="D13" s="148"/>
      <c r="E13" s="149"/>
      <c r="O13" s="3"/>
    </row>
    <row r="14" spans="3:15" s="2" customFormat="1" x14ac:dyDescent="0.25">
      <c r="D14" s="148"/>
      <c r="E14" s="149"/>
      <c r="O14" s="3"/>
    </row>
    <row r="16" spans="3:15" x14ac:dyDescent="0.2">
      <c r="C16" s="190"/>
      <c r="E16" s="333"/>
      <c r="F16" s="333"/>
      <c r="G16" s="333"/>
    </row>
    <row r="17" spans="5:7" x14ac:dyDescent="0.2">
      <c r="E17" s="333"/>
      <c r="F17" s="333"/>
      <c r="G17" s="333"/>
    </row>
    <row r="18" spans="5:7" x14ac:dyDescent="0.2">
      <c r="E18" s="333"/>
      <c r="F18" s="333"/>
      <c r="G18" s="333"/>
    </row>
    <row r="19" spans="5:7" x14ac:dyDescent="0.2">
      <c r="E19" s="333"/>
      <c r="F19" s="333"/>
      <c r="G19" s="333"/>
    </row>
    <row r="20" spans="5:7" x14ac:dyDescent="0.2">
      <c r="E20" s="333"/>
      <c r="F20" s="333"/>
      <c r="G20" s="333"/>
    </row>
    <row r="21" spans="5:7" x14ac:dyDescent="0.2">
      <c r="E21" s="333"/>
      <c r="F21" s="333"/>
      <c r="G21" s="333"/>
    </row>
    <row r="22" spans="5:7" x14ac:dyDescent="0.2">
      <c r="E22" s="333"/>
      <c r="F22" s="333"/>
      <c r="G22" s="333"/>
    </row>
    <row r="23" spans="5:7" x14ac:dyDescent="0.2">
      <c r="E23" s="333"/>
      <c r="F23" s="333"/>
      <c r="G23" s="333"/>
    </row>
    <row r="24" spans="5:7" x14ac:dyDescent="0.2">
      <c r="E24" s="333"/>
      <c r="F24" s="333"/>
      <c r="G24" s="333"/>
    </row>
    <row r="25" spans="5:7" x14ac:dyDescent="0.2">
      <c r="E25" s="333"/>
      <c r="F25" s="333"/>
      <c r="G25" s="333"/>
    </row>
    <row r="26" spans="5:7" x14ac:dyDescent="0.2">
      <c r="E26" s="333"/>
      <c r="F26" s="333"/>
      <c r="G26" s="333"/>
    </row>
    <row r="27" spans="5:7" x14ac:dyDescent="0.2">
      <c r="E27" s="333"/>
      <c r="F27" s="333"/>
      <c r="G27" s="333"/>
    </row>
    <row r="28" spans="5:7" x14ac:dyDescent="0.2">
      <c r="E28" s="333"/>
      <c r="F28" s="333"/>
      <c r="G28" s="333"/>
    </row>
    <row r="29" spans="5:7" x14ac:dyDescent="0.2">
      <c r="E29" s="333"/>
      <c r="F29" s="333"/>
      <c r="G29" s="333"/>
    </row>
    <row r="30" spans="5:7" x14ac:dyDescent="0.2">
      <c r="E30" s="333"/>
      <c r="F30" s="333"/>
      <c r="G30" s="333"/>
    </row>
    <row r="31" spans="5:7" x14ac:dyDescent="0.2">
      <c r="E31" s="333"/>
      <c r="F31" s="333"/>
      <c r="G31" s="333"/>
    </row>
    <row r="32" spans="5:7" x14ac:dyDescent="0.2">
      <c r="E32" s="333"/>
      <c r="F32" s="333"/>
      <c r="G32" s="333"/>
    </row>
    <row r="33" spans="3:7" x14ac:dyDescent="0.2">
      <c r="E33" s="333"/>
      <c r="F33" s="333"/>
      <c r="G33" s="333"/>
    </row>
    <row r="34" spans="3:7" x14ac:dyDescent="0.2">
      <c r="E34" s="333"/>
      <c r="F34" s="333"/>
      <c r="G34" s="333"/>
    </row>
    <row r="35" spans="3:7" x14ac:dyDescent="0.2">
      <c r="E35" s="333"/>
      <c r="F35" s="333"/>
      <c r="G35" s="333"/>
    </row>
    <row r="36" spans="3:7" x14ac:dyDescent="0.2">
      <c r="E36" s="333"/>
      <c r="F36" s="333"/>
      <c r="G36" s="333"/>
    </row>
    <row r="37" spans="3:7" x14ac:dyDescent="0.2">
      <c r="E37" s="333"/>
      <c r="F37" s="333"/>
      <c r="G37" s="333"/>
    </row>
    <row r="38" spans="3:7" x14ac:dyDescent="0.2">
      <c r="E38" s="333"/>
      <c r="F38" s="333"/>
      <c r="G38" s="333"/>
    </row>
    <row r="40" spans="3:7" x14ac:dyDescent="0.2">
      <c r="C40" s="190" t="s">
        <v>75</v>
      </c>
      <c r="E40" s="191" t="s">
        <v>101</v>
      </c>
    </row>
    <row r="41" spans="3:7" x14ac:dyDescent="0.2">
      <c r="E41" s="192" t="s">
        <v>78</v>
      </c>
    </row>
    <row r="42" spans="3:7" x14ac:dyDescent="0.2">
      <c r="E42" s="193" t="s">
        <v>79</v>
      </c>
    </row>
    <row r="43" spans="3:7" x14ac:dyDescent="0.2">
      <c r="E43" s="193" t="s">
        <v>80</v>
      </c>
    </row>
    <row r="44" spans="3:7" x14ac:dyDescent="0.2">
      <c r="E44" s="193" t="s">
        <v>84</v>
      </c>
    </row>
    <row r="45" spans="3:7" x14ac:dyDescent="0.2">
      <c r="E45" s="194" t="s">
        <v>98</v>
      </c>
    </row>
    <row r="46" spans="3:7" x14ac:dyDescent="0.2">
      <c r="E46" s="193" t="s">
        <v>99</v>
      </c>
    </row>
    <row r="47" spans="3:7" x14ac:dyDescent="0.2">
      <c r="E47" s="195" t="s">
        <v>100</v>
      </c>
    </row>
    <row r="48" spans="3:7" x14ac:dyDescent="0.2">
      <c r="E48" s="193" t="s">
        <v>81</v>
      </c>
    </row>
    <row r="49" spans="3:5" x14ac:dyDescent="0.2">
      <c r="E49" s="195" t="s">
        <v>82</v>
      </c>
    </row>
    <row r="50" spans="3:5" x14ac:dyDescent="0.2">
      <c r="E50" s="195"/>
    </row>
    <row r="51" spans="3:5" x14ac:dyDescent="0.2">
      <c r="C51" s="190" t="s">
        <v>76</v>
      </c>
      <c r="E51" s="193" t="s">
        <v>105</v>
      </c>
    </row>
    <row r="52" spans="3:5" x14ac:dyDescent="0.2">
      <c r="C52" s="196" t="s">
        <v>77</v>
      </c>
      <c r="E52" s="193" t="s">
        <v>83</v>
      </c>
    </row>
    <row r="53" spans="3:5" x14ac:dyDescent="0.2">
      <c r="E53" s="193" t="s">
        <v>102</v>
      </c>
    </row>
    <row r="54" spans="3:5" x14ac:dyDescent="0.2">
      <c r="E54" s="193" t="s">
        <v>106</v>
      </c>
    </row>
    <row r="55" spans="3:5" x14ac:dyDescent="0.2">
      <c r="E55" s="195" t="s">
        <v>107</v>
      </c>
    </row>
    <row r="56" spans="3:5" x14ac:dyDescent="0.2">
      <c r="E56" s="195" t="s">
        <v>108</v>
      </c>
    </row>
  </sheetData>
  <mergeCells count="1">
    <mergeCell ref="E16:G38"/>
  </mergeCells>
  <pageMargins left="0.38" right="0.38" top="0.5" bottom="0.5" header="0.3" footer="0.25"/>
  <pageSetup scale="97" orientation="portrait" r:id="rId1"/>
  <headerFooter>
    <oddFooter>&amp;L&amp;"Times New Roman,Regular"&amp;8&amp;A&amp;C&amp;"Times New Roman,Regular"&amp;8&amp;P of &amp;N&amp;R&amp;"Times New Roman,Regular"&amp;8&amp;D;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C3:O56"/>
  <sheetViews>
    <sheetView tabSelected="1" view="pageBreakPreview" zoomScale="130" zoomScaleNormal="115" zoomScaleSheetLayoutView="130" workbookViewId="0">
      <selection activeCell="D7" sqref="D7"/>
    </sheetView>
  </sheetViews>
  <sheetFormatPr defaultRowHeight="12.75" x14ac:dyDescent="0.2"/>
  <cols>
    <col min="1" max="2" width="9.140625" style="7"/>
    <col min="3" max="3" width="13.7109375" style="7" customWidth="1"/>
    <col min="4" max="4" width="10.7109375" style="7" customWidth="1"/>
    <col min="5" max="7" width="25.7109375" style="7" customWidth="1"/>
    <col min="8" max="16384" width="9.140625" style="7"/>
  </cols>
  <sheetData>
    <row r="3" spans="3:15" s="2" customFormat="1" ht="15" x14ac:dyDescent="0.25">
      <c r="C3" s="1" t="s">
        <v>0</v>
      </c>
      <c r="D3" s="1" t="s">
        <v>1</v>
      </c>
      <c r="O3" s="3"/>
    </row>
    <row r="4" spans="3:15" s="2" customFormat="1" ht="15" x14ac:dyDescent="0.25">
      <c r="C4" s="1" t="s">
        <v>2</v>
      </c>
      <c r="D4" s="4" t="s">
        <v>3</v>
      </c>
      <c r="O4" s="3"/>
    </row>
    <row r="5" spans="3:15" s="2" customFormat="1" ht="15" x14ac:dyDescent="0.25">
      <c r="C5" s="1" t="s">
        <v>4</v>
      </c>
      <c r="D5" s="5">
        <f ca="1">TODAY()</f>
        <v>44608</v>
      </c>
      <c r="O5" s="3"/>
    </row>
    <row r="6" spans="3:15" s="2" customFormat="1" ht="15" x14ac:dyDescent="0.25">
      <c r="C6" s="1" t="s">
        <v>166</v>
      </c>
      <c r="D6" s="177">
        <f>Market_Assumptions!E44</f>
        <v>0</v>
      </c>
      <c r="O6" s="3"/>
    </row>
    <row r="7" spans="3:15" s="2" customFormat="1" ht="15" x14ac:dyDescent="0.25">
      <c r="C7" s="1" t="s">
        <v>167</v>
      </c>
      <c r="D7" s="6">
        <v>225</v>
      </c>
      <c r="O7" s="3"/>
    </row>
    <row r="8" spans="3:15" s="2" customFormat="1" x14ac:dyDescent="0.25">
      <c r="O8" s="3"/>
    </row>
    <row r="9" spans="3:15" s="2" customFormat="1" x14ac:dyDescent="0.25">
      <c r="C9" s="153" t="s">
        <v>85</v>
      </c>
      <c r="D9" s="148" t="s">
        <v>86</v>
      </c>
      <c r="E9" s="149" t="s">
        <v>92</v>
      </c>
      <c r="O9" s="3"/>
    </row>
    <row r="10" spans="3:15" s="2" customFormat="1" x14ac:dyDescent="0.25">
      <c r="D10" s="148" t="s">
        <v>87</v>
      </c>
      <c r="E10" s="149" t="s">
        <v>93</v>
      </c>
      <c r="O10" s="3"/>
    </row>
    <row r="11" spans="3:15" s="2" customFormat="1" x14ac:dyDescent="0.25">
      <c r="D11" s="148" t="s">
        <v>88</v>
      </c>
      <c r="E11" s="149" t="s">
        <v>94</v>
      </c>
      <c r="O11" s="3"/>
    </row>
    <row r="12" spans="3:15" s="2" customFormat="1" x14ac:dyDescent="0.25">
      <c r="D12" s="148" t="s">
        <v>89</v>
      </c>
      <c r="E12" s="149" t="s">
        <v>95</v>
      </c>
      <c r="O12" s="3"/>
    </row>
    <row r="13" spans="3:15" s="2" customFormat="1" x14ac:dyDescent="0.25">
      <c r="D13" s="148" t="s">
        <v>90</v>
      </c>
      <c r="E13" s="149" t="s">
        <v>96</v>
      </c>
      <c r="O13" s="3"/>
    </row>
    <row r="14" spans="3:15" s="2" customFormat="1" x14ac:dyDescent="0.25">
      <c r="D14" s="148" t="s">
        <v>91</v>
      </c>
      <c r="E14" s="149" t="s">
        <v>97</v>
      </c>
      <c r="O14" s="3"/>
    </row>
    <row r="16" spans="3:15" x14ac:dyDescent="0.2">
      <c r="C16" s="144" t="s">
        <v>103</v>
      </c>
      <c r="E16" s="334" t="s">
        <v>104</v>
      </c>
      <c r="F16" s="335"/>
      <c r="G16" s="336"/>
    </row>
    <row r="17" spans="5:7" x14ac:dyDescent="0.2">
      <c r="E17" s="337"/>
      <c r="F17" s="333"/>
      <c r="G17" s="338"/>
    </row>
    <row r="18" spans="5:7" x14ac:dyDescent="0.2">
      <c r="E18" s="337"/>
      <c r="F18" s="333"/>
      <c r="G18" s="338"/>
    </row>
    <row r="19" spans="5:7" x14ac:dyDescent="0.2">
      <c r="E19" s="337"/>
      <c r="F19" s="333"/>
      <c r="G19" s="338"/>
    </row>
    <row r="20" spans="5:7" x14ac:dyDescent="0.2">
      <c r="E20" s="337"/>
      <c r="F20" s="333"/>
      <c r="G20" s="338"/>
    </row>
    <row r="21" spans="5:7" x14ac:dyDescent="0.2">
      <c r="E21" s="337"/>
      <c r="F21" s="333"/>
      <c r="G21" s="338"/>
    </row>
    <row r="22" spans="5:7" x14ac:dyDescent="0.2">
      <c r="E22" s="337"/>
      <c r="F22" s="333"/>
      <c r="G22" s="338"/>
    </row>
    <row r="23" spans="5:7" x14ac:dyDescent="0.2">
      <c r="E23" s="337"/>
      <c r="F23" s="333"/>
      <c r="G23" s="338"/>
    </row>
    <row r="24" spans="5:7" x14ac:dyDescent="0.2">
      <c r="E24" s="337"/>
      <c r="F24" s="333"/>
      <c r="G24" s="338"/>
    </row>
    <row r="25" spans="5:7" x14ac:dyDescent="0.2">
      <c r="E25" s="337"/>
      <c r="F25" s="333"/>
      <c r="G25" s="338"/>
    </row>
    <row r="26" spans="5:7" x14ac:dyDescent="0.2">
      <c r="E26" s="337"/>
      <c r="F26" s="333"/>
      <c r="G26" s="338"/>
    </row>
    <row r="27" spans="5:7" x14ac:dyDescent="0.2">
      <c r="E27" s="337"/>
      <c r="F27" s="333"/>
      <c r="G27" s="338"/>
    </row>
    <row r="28" spans="5:7" x14ac:dyDescent="0.2">
      <c r="E28" s="337"/>
      <c r="F28" s="333"/>
      <c r="G28" s="338"/>
    </row>
    <row r="29" spans="5:7" x14ac:dyDescent="0.2">
      <c r="E29" s="337"/>
      <c r="F29" s="333"/>
      <c r="G29" s="338"/>
    </row>
    <row r="30" spans="5:7" x14ac:dyDescent="0.2">
      <c r="E30" s="337"/>
      <c r="F30" s="333"/>
      <c r="G30" s="338"/>
    </row>
    <row r="31" spans="5:7" x14ac:dyDescent="0.2">
      <c r="E31" s="337"/>
      <c r="F31" s="333"/>
      <c r="G31" s="338"/>
    </row>
    <row r="32" spans="5:7" x14ac:dyDescent="0.2">
      <c r="E32" s="337"/>
      <c r="F32" s="333"/>
      <c r="G32" s="338"/>
    </row>
    <row r="33" spans="3:7" x14ac:dyDescent="0.2">
      <c r="E33" s="337"/>
      <c r="F33" s="333"/>
      <c r="G33" s="338"/>
    </row>
    <row r="34" spans="3:7" x14ac:dyDescent="0.2">
      <c r="E34" s="337"/>
      <c r="F34" s="333"/>
      <c r="G34" s="338"/>
    </row>
    <row r="35" spans="3:7" x14ac:dyDescent="0.2">
      <c r="E35" s="337"/>
      <c r="F35" s="333"/>
      <c r="G35" s="338"/>
    </row>
    <row r="36" spans="3:7" x14ac:dyDescent="0.2">
      <c r="E36" s="337"/>
      <c r="F36" s="333"/>
      <c r="G36" s="338"/>
    </row>
    <row r="37" spans="3:7" x14ac:dyDescent="0.2">
      <c r="E37" s="337"/>
      <c r="F37" s="333"/>
      <c r="G37" s="338"/>
    </row>
    <row r="38" spans="3:7" x14ac:dyDescent="0.2">
      <c r="E38" s="339"/>
      <c r="F38" s="340"/>
      <c r="G38" s="341"/>
    </row>
    <row r="40" spans="3:7" x14ac:dyDescent="0.2">
      <c r="C40" s="144" t="s">
        <v>75</v>
      </c>
      <c r="E40" s="151" t="s">
        <v>101</v>
      </c>
    </row>
    <row r="41" spans="3:7" x14ac:dyDescent="0.2">
      <c r="E41" s="152" t="s">
        <v>78</v>
      </c>
    </row>
    <row r="42" spans="3:7" x14ac:dyDescent="0.2">
      <c r="E42" s="146" t="s">
        <v>79</v>
      </c>
    </row>
    <row r="43" spans="3:7" x14ac:dyDescent="0.2">
      <c r="E43" s="146" t="s">
        <v>80</v>
      </c>
    </row>
    <row r="44" spans="3:7" x14ac:dyDescent="0.2">
      <c r="E44" s="146" t="s">
        <v>84</v>
      </c>
    </row>
    <row r="45" spans="3:7" x14ac:dyDescent="0.2">
      <c r="E45" s="150" t="s">
        <v>98</v>
      </c>
    </row>
    <row r="46" spans="3:7" x14ac:dyDescent="0.2">
      <c r="E46" s="146" t="s">
        <v>99</v>
      </c>
    </row>
    <row r="47" spans="3:7" x14ac:dyDescent="0.2">
      <c r="E47" s="147" t="s">
        <v>100</v>
      </c>
    </row>
    <row r="48" spans="3:7" x14ac:dyDescent="0.2">
      <c r="E48" s="146" t="s">
        <v>81</v>
      </c>
    </row>
    <row r="49" spans="3:5" x14ac:dyDescent="0.2">
      <c r="E49" s="147" t="s">
        <v>82</v>
      </c>
    </row>
    <row r="50" spans="3:5" x14ac:dyDescent="0.2">
      <c r="E50" s="147"/>
    </row>
    <row r="51" spans="3:5" x14ac:dyDescent="0.2">
      <c r="C51" s="144" t="s">
        <v>76</v>
      </c>
      <c r="E51" s="146" t="s">
        <v>105</v>
      </c>
    </row>
    <row r="52" spans="3:5" x14ac:dyDescent="0.2">
      <c r="C52" s="145" t="s">
        <v>77</v>
      </c>
      <c r="E52" s="146" t="s">
        <v>83</v>
      </c>
    </row>
    <row r="53" spans="3:5" x14ac:dyDescent="0.2">
      <c r="E53" s="146" t="s">
        <v>102</v>
      </c>
    </row>
    <row r="54" spans="3:5" x14ac:dyDescent="0.2">
      <c r="E54" s="146" t="s">
        <v>106</v>
      </c>
    </row>
    <row r="55" spans="3:5" x14ac:dyDescent="0.2">
      <c r="E55" s="147" t="s">
        <v>107</v>
      </c>
    </row>
    <row r="56" spans="3:5" x14ac:dyDescent="0.2">
      <c r="E56" s="147" t="s">
        <v>108</v>
      </c>
    </row>
  </sheetData>
  <mergeCells count="1">
    <mergeCell ref="E16:G38"/>
  </mergeCells>
  <pageMargins left="0.38" right="0.38" top="0.5" bottom="0.5" header="0.3" footer="0.25"/>
  <pageSetup scale="97" orientation="portrait" r:id="rId1"/>
  <headerFooter>
    <oddFooter>&amp;L&amp;"Times New Roman,Regular"&amp;8&amp;A&amp;C&amp;"Times New Roman,Regular"&amp;8&amp;P of &amp;N&amp;R&amp;"Times New Roman,Regular"&amp;8&amp;D;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FF"/>
    <pageSetUpPr fitToPage="1"/>
  </sheetPr>
  <dimension ref="A2:Z53"/>
  <sheetViews>
    <sheetView view="pageBreakPreview" zoomScale="130" zoomScaleNormal="100" zoomScaleSheetLayoutView="130" workbookViewId="0">
      <selection activeCell="F11" sqref="F11"/>
    </sheetView>
  </sheetViews>
  <sheetFormatPr defaultRowHeight="12.75" x14ac:dyDescent="0.2"/>
  <cols>
    <col min="1" max="1" width="9.140625" style="7"/>
    <col min="2" max="2" width="2.42578125" style="7" customWidth="1"/>
    <col min="3" max="3" width="15.140625" style="7" customWidth="1"/>
    <col min="4" max="10" width="13.7109375" style="7" customWidth="1"/>
    <col min="11" max="11" width="1.5703125" style="7" customWidth="1"/>
    <col min="12" max="16384" width="9.140625" style="7"/>
  </cols>
  <sheetData>
    <row r="2" spans="3:26" s="2" customFormat="1" ht="15" x14ac:dyDescent="0.25">
      <c r="C2" s="1" t="s">
        <v>0</v>
      </c>
      <c r="D2" s="8" t="s">
        <v>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3:26" s="2" customFormat="1" ht="15" x14ac:dyDescent="0.25">
      <c r="C3" s="1" t="s">
        <v>2</v>
      </c>
      <c r="D3" s="8" t="str">
        <f>Cover_Page!D4</f>
        <v>Enter Team Name Here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3:26" s="2" customFormat="1" ht="15" x14ac:dyDescent="0.25">
      <c r="C4" s="1" t="s">
        <v>4</v>
      </c>
      <c r="D4" s="5">
        <f ca="1">TODAY()</f>
        <v>44608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s="2" customFormat="1" ht="15" x14ac:dyDescent="0.25">
      <c r="C5" s="1" t="s">
        <v>5</v>
      </c>
      <c r="D5" s="177">
        <f>Cover_Page!D6</f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3:26" s="2" customFormat="1" ht="15" x14ac:dyDescent="0.25">
      <c r="C6" s="1" t="s">
        <v>6</v>
      </c>
      <c r="D6" s="178">
        <f>Cover_Page!D7</f>
        <v>225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3:26" s="2" customFormat="1" x14ac:dyDescent="0.25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3:26" s="2" customFormat="1" x14ac:dyDescent="0.25"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3:26" s="2" customFormat="1" x14ac:dyDescent="0.25">
      <c r="C9" s="48" t="s">
        <v>20</v>
      </c>
      <c r="D9" s="91"/>
      <c r="E9" s="91"/>
      <c r="F9" s="131" t="s">
        <v>53</v>
      </c>
      <c r="G9" s="131" t="s">
        <v>58</v>
      </c>
      <c r="H9" s="355" t="s">
        <v>69</v>
      </c>
      <c r="I9" s="355"/>
      <c r="J9" s="35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3:26" ht="6" customHeight="1" x14ac:dyDescent="0.2">
      <c r="C10" s="95"/>
      <c r="D10" s="96"/>
      <c r="E10" s="96"/>
      <c r="F10" s="96"/>
      <c r="G10" s="96"/>
      <c r="H10" s="357"/>
      <c r="I10" s="357"/>
      <c r="J10" s="358"/>
    </row>
    <row r="11" spans="3:26" x14ac:dyDescent="0.2">
      <c r="C11" s="97" t="s">
        <v>110</v>
      </c>
      <c r="D11" s="96"/>
      <c r="E11" s="96"/>
      <c r="F11" s="397" t="e">
        <f>G11/$D$5</f>
        <v>#DIV/0!</v>
      </c>
      <c r="G11" s="180">
        <f>Project_Budget!H$14</f>
        <v>49985100</v>
      </c>
      <c r="H11" s="350"/>
      <c r="I11" s="351"/>
      <c r="J11" s="352"/>
    </row>
    <row r="12" spans="3:26" x14ac:dyDescent="0.2">
      <c r="C12" s="97" t="s">
        <v>45</v>
      </c>
      <c r="D12" s="96"/>
      <c r="E12" s="96"/>
      <c r="F12" s="98" t="e">
        <f>G12/$D$5</f>
        <v>#DIV/0!</v>
      </c>
      <c r="G12" s="180">
        <f>Project_Budget!$H$29</f>
        <v>0</v>
      </c>
      <c r="H12" s="350"/>
      <c r="I12" s="351"/>
      <c r="J12" s="352"/>
    </row>
    <row r="13" spans="3:26" x14ac:dyDescent="0.2">
      <c r="C13" s="97" t="s">
        <v>46</v>
      </c>
      <c r="D13" s="96"/>
      <c r="E13" s="96"/>
      <c r="F13" s="98" t="e">
        <f t="shared" ref="F13:F17" si="0">G13/$D$5</f>
        <v>#DIV/0!</v>
      </c>
      <c r="G13" s="180">
        <f>Project_Budget!$H$42</f>
        <v>0</v>
      </c>
      <c r="H13" s="350"/>
      <c r="I13" s="351"/>
      <c r="J13" s="352"/>
    </row>
    <row r="14" spans="3:26" x14ac:dyDescent="0.2">
      <c r="C14" s="97" t="s">
        <v>118</v>
      </c>
      <c r="D14" s="96"/>
      <c r="E14" s="96"/>
      <c r="F14" s="98" t="e">
        <f t="shared" si="0"/>
        <v>#DIV/0!</v>
      </c>
      <c r="G14" s="180">
        <f>Project_Budget!$H$51</f>
        <v>0</v>
      </c>
      <c r="H14" s="350"/>
      <c r="I14" s="351"/>
      <c r="J14" s="352"/>
    </row>
    <row r="15" spans="3:26" x14ac:dyDescent="0.2">
      <c r="C15" s="97" t="s">
        <v>47</v>
      </c>
      <c r="D15" s="96"/>
      <c r="E15" s="96"/>
      <c r="F15" s="98" t="e">
        <f t="shared" si="0"/>
        <v>#DIV/0!</v>
      </c>
      <c r="G15" s="180">
        <f>Project_Budget!$H$60</f>
        <v>0</v>
      </c>
      <c r="H15" s="350"/>
      <c r="I15" s="351"/>
      <c r="J15" s="352"/>
    </row>
    <row r="16" spans="3:26" ht="6" customHeight="1" x14ac:dyDescent="0.2">
      <c r="C16" s="132"/>
      <c r="D16" s="133"/>
      <c r="E16" s="133"/>
      <c r="F16" s="133"/>
      <c r="G16" s="133"/>
      <c r="H16" s="353"/>
      <c r="I16" s="353"/>
      <c r="J16" s="354"/>
    </row>
    <row r="17" spans="1:10" x14ac:dyDescent="0.2">
      <c r="A17" s="99" t="b">
        <f>G17=Project_Budget!H62</f>
        <v>1</v>
      </c>
      <c r="C17" s="100" t="s">
        <v>19</v>
      </c>
      <c r="D17" s="101"/>
      <c r="E17" s="101"/>
      <c r="F17" s="102" t="e">
        <f t="shared" si="0"/>
        <v>#DIV/0!</v>
      </c>
      <c r="G17" s="126">
        <f>SUM(G11:G15)</f>
        <v>49985100</v>
      </c>
      <c r="H17" s="342"/>
      <c r="I17" s="342"/>
      <c r="J17" s="343"/>
    </row>
    <row r="20" spans="1:10" x14ac:dyDescent="0.2">
      <c r="C20" s="100" t="s">
        <v>59</v>
      </c>
      <c r="D20" s="101"/>
      <c r="E20" s="101"/>
      <c r="F20" s="131" t="s">
        <v>53</v>
      </c>
      <c r="G20" s="131" t="s">
        <v>58</v>
      </c>
      <c r="H20" s="355" t="s">
        <v>69</v>
      </c>
      <c r="I20" s="355"/>
      <c r="J20" s="356"/>
    </row>
    <row r="21" spans="1:10" ht="6" customHeight="1" x14ac:dyDescent="0.2">
      <c r="C21" s="103"/>
      <c r="D21" s="96"/>
      <c r="E21" s="96"/>
      <c r="F21" s="96"/>
      <c r="G21" s="96"/>
      <c r="H21" s="114"/>
      <c r="I21" s="114"/>
      <c r="J21" s="115"/>
    </row>
    <row r="22" spans="1:10" x14ac:dyDescent="0.2">
      <c r="C22" s="104" t="str">
        <f>Market_Assumptions!$C$10&amp;" Rental Revenue"</f>
        <v>Retail / Entertainment Rental Revenue</v>
      </c>
      <c r="D22" s="96"/>
      <c r="E22" s="96"/>
      <c r="F22" s="98">
        <f>IFERROR(G22/$D$5,0)</f>
        <v>0</v>
      </c>
      <c r="G22" s="180">
        <f>Market_Assumptions!H18</f>
        <v>0</v>
      </c>
      <c r="H22" s="350"/>
      <c r="I22" s="351"/>
      <c r="J22" s="352"/>
    </row>
    <row r="23" spans="1:10" x14ac:dyDescent="0.2">
      <c r="C23" s="104" t="str">
        <f>Market_Assumptions!$C$20&amp;" Rental Revenue"</f>
        <v>Office/Industrial Rental Revenue</v>
      </c>
      <c r="D23" s="96"/>
      <c r="E23" s="96"/>
      <c r="F23" s="98">
        <f t="shared" ref="F23:F46" si="1">IFERROR(G23/$D$5,0)</f>
        <v>0</v>
      </c>
      <c r="G23" s="180">
        <f>Market_Assumptions!$H$28</f>
        <v>0</v>
      </c>
      <c r="H23" s="350"/>
      <c r="I23" s="351"/>
      <c r="J23" s="352"/>
    </row>
    <row r="24" spans="1:10" x14ac:dyDescent="0.2">
      <c r="C24" s="104" t="str">
        <f>Market_Assumptions!$C$30&amp;" Rental Revenue"</f>
        <v>Multi-Family Rental Revenue</v>
      </c>
      <c r="D24" s="96"/>
      <c r="E24" s="96"/>
      <c r="F24" s="98">
        <f>IFERROR((G24/Market_Assumptions!E36)/12,0)</f>
        <v>0</v>
      </c>
      <c r="G24" s="180">
        <f>Market_Assumptions!$I$36</f>
        <v>0</v>
      </c>
      <c r="H24" s="140"/>
      <c r="I24" s="141"/>
      <c r="J24" s="142"/>
    </row>
    <row r="25" spans="1:10" x14ac:dyDescent="0.2">
      <c r="C25" s="104" t="str">
        <f>Market_Assumptions!$C$38&amp;" Rental Revenue"</f>
        <v>Hospitality Rental Revenue</v>
      </c>
      <c r="D25" s="96"/>
      <c r="E25" s="96"/>
      <c r="F25" s="105">
        <f t="shared" si="1"/>
        <v>0</v>
      </c>
      <c r="G25" s="181">
        <f>Market_Assumptions!$I$42</f>
        <v>0</v>
      </c>
      <c r="H25" s="350"/>
      <c r="I25" s="351"/>
      <c r="J25" s="352"/>
    </row>
    <row r="26" spans="1:10" x14ac:dyDescent="0.2">
      <c r="A26" s="99" t="b">
        <f>G26=Market_Assumptions!H44</f>
        <v>1</v>
      </c>
      <c r="C26" s="106" t="s">
        <v>48</v>
      </c>
      <c r="D26" s="107"/>
      <c r="E26" s="107"/>
      <c r="F26" s="108">
        <f t="shared" si="1"/>
        <v>0</v>
      </c>
      <c r="G26" s="127">
        <f>SUM(G22:G25)</f>
        <v>0</v>
      </c>
      <c r="H26" s="344"/>
      <c r="I26" s="345"/>
      <c r="J26" s="346"/>
    </row>
    <row r="27" spans="1:10" ht="6" customHeight="1" x14ac:dyDescent="0.2">
      <c r="C27" s="95"/>
      <c r="D27" s="96"/>
      <c r="E27" s="96"/>
      <c r="F27" s="96"/>
      <c r="G27" s="96"/>
      <c r="H27" s="114"/>
      <c r="I27" s="114"/>
      <c r="J27" s="115"/>
    </row>
    <row r="28" spans="1:10" x14ac:dyDescent="0.2">
      <c r="C28" s="104" t="str">
        <f>Market_Assumptions!$C$10&amp;" Exp. Reimbursements"</f>
        <v>Retail / Entertainment Exp. Reimbursements</v>
      </c>
      <c r="D28" s="96"/>
      <c r="E28" s="96"/>
      <c r="F28" s="98">
        <f t="shared" si="1"/>
        <v>0</v>
      </c>
      <c r="G28" s="180">
        <f>Market_Assumptions!$I$51</f>
        <v>0</v>
      </c>
      <c r="H28" s="350"/>
      <c r="I28" s="351"/>
      <c r="J28" s="352"/>
    </row>
    <row r="29" spans="1:10" x14ac:dyDescent="0.2">
      <c r="C29" s="104" t="str">
        <f>Market_Assumptions!$C$20&amp;" Exp. Reimbursements"</f>
        <v>Office/Industrial Exp. Reimbursements</v>
      </c>
      <c r="D29" s="96"/>
      <c r="E29" s="96"/>
      <c r="F29" s="98">
        <f t="shared" si="1"/>
        <v>0</v>
      </c>
      <c r="G29" s="180">
        <f>Market_Assumptions!$I$58</f>
        <v>0</v>
      </c>
      <c r="H29" s="350"/>
      <c r="I29" s="351"/>
      <c r="J29" s="352"/>
    </row>
    <row r="30" spans="1:10" x14ac:dyDescent="0.2">
      <c r="C30" s="104" t="str">
        <f>Market_Assumptions!$C$30&amp;" Exp. Reimbursements"</f>
        <v>Multi-Family Exp. Reimbursements</v>
      </c>
      <c r="D30" s="96"/>
      <c r="E30" s="96"/>
      <c r="F30" s="98">
        <f t="shared" si="1"/>
        <v>0</v>
      </c>
      <c r="G30" s="180">
        <v>0</v>
      </c>
      <c r="H30" s="140"/>
      <c r="I30" s="141"/>
      <c r="J30" s="142"/>
    </row>
    <row r="31" spans="1:10" x14ac:dyDescent="0.2">
      <c r="C31" s="104" t="str">
        <f>Market_Assumptions!$C$10&amp;" Other Income"</f>
        <v>Retail / Entertainment Other Income</v>
      </c>
      <c r="D31" s="96"/>
      <c r="E31" s="96"/>
      <c r="F31" s="98">
        <f t="shared" si="1"/>
        <v>0</v>
      </c>
      <c r="G31" s="180">
        <f>Market_Assumptions!$I$52</f>
        <v>0</v>
      </c>
      <c r="H31" s="350"/>
      <c r="I31" s="351"/>
      <c r="J31" s="352"/>
    </row>
    <row r="32" spans="1:10" x14ac:dyDescent="0.2">
      <c r="C32" s="104" t="str">
        <f>Market_Assumptions!$C$20&amp;" Other Income"</f>
        <v>Office/Industrial Other Income</v>
      </c>
      <c r="D32" s="96"/>
      <c r="E32" s="96"/>
      <c r="F32" s="98">
        <f t="shared" si="1"/>
        <v>0</v>
      </c>
      <c r="G32" s="180">
        <f>Market_Assumptions!$I$59</f>
        <v>0</v>
      </c>
      <c r="H32" s="350"/>
      <c r="I32" s="351"/>
      <c r="J32" s="352"/>
    </row>
    <row r="33" spans="1:10" x14ac:dyDescent="0.2">
      <c r="C33" s="104" t="str">
        <f>Market_Assumptions!$C$30&amp;" Other Income"</f>
        <v>Multi-Family Other Income</v>
      </c>
      <c r="D33" s="96"/>
      <c r="E33" s="96"/>
      <c r="F33" s="98">
        <f t="shared" si="1"/>
        <v>0</v>
      </c>
      <c r="G33" s="182">
        <f>Market_Assumptions!$I$65</f>
        <v>0</v>
      </c>
      <c r="H33" s="140"/>
      <c r="I33" s="141"/>
      <c r="J33" s="142"/>
    </row>
    <row r="34" spans="1:10" x14ac:dyDescent="0.2">
      <c r="C34" s="104" t="str">
        <f>Market_Assumptions!$C$38&amp;" Other Income"</f>
        <v>Hospitality Other Income</v>
      </c>
      <c r="D34" s="96"/>
      <c r="E34" s="96"/>
      <c r="F34" s="105">
        <f t="shared" si="1"/>
        <v>0</v>
      </c>
      <c r="G34" s="181">
        <f>Market_Assumptions!$I$71</f>
        <v>0</v>
      </c>
      <c r="H34" s="350"/>
      <c r="I34" s="351"/>
      <c r="J34" s="352"/>
    </row>
    <row r="35" spans="1:10" x14ac:dyDescent="0.2">
      <c r="A35" s="99" t="e">
        <f>G35=Market_Assumptions!I51+Market_Assumptions!I52+Market_Assumptions!I58+Market_Assumptions!I59+Market_Assumptions!#REF!+Market_Assumptions!I65+Market_Assumptions!I71</f>
        <v>#REF!</v>
      </c>
      <c r="C35" s="106" t="s">
        <v>56</v>
      </c>
      <c r="D35" s="107"/>
      <c r="E35" s="107"/>
      <c r="F35" s="108">
        <f t="shared" si="1"/>
        <v>0</v>
      </c>
      <c r="G35" s="127">
        <f>SUM(G28:G34)</f>
        <v>0</v>
      </c>
      <c r="H35" s="344"/>
      <c r="I35" s="345"/>
      <c r="J35" s="346"/>
    </row>
    <row r="36" spans="1:10" ht="6" customHeight="1" x14ac:dyDescent="0.2">
      <c r="C36" s="109"/>
      <c r="D36" s="96"/>
      <c r="E36" s="96"/>
      <c r="F36" s="96"/>
      <c r="G36" s="96"/>
      <c r="H36" s="114"/>
      <c r="I36" s="114"/>
      <c r="J36" s="115"/>
    </row>
    <row r="37" spans="1:10" x14ac:dyDescent="0.2">
      <c r="C37" s="110" t="s">
        <v>57</v>
      </c>
      <c r="D37" s="111"/>
      <c r="E37" s="111"/>
      <c r="F37" s="112">
        <f t="shared" si="1"/>
        <v>0</v>
      </c>
      <c r="G37" s="128">
        <f>G35+G26</f>
        <v>0</v>
      </c>
      <c r="H37" s="347"/>
      <c r="I37" s="348"/>
      <c r="J37" s="349"/>
    </row>
    <row r="38" spans="1:10" ht="6" customHeight="1" x14ac:dyDescent="0.2">
      <c r="C38" s="109"/>
      <c r="D38" s="96"/>
      <c r="E38" s="96"/>
      <c r="F38" s="96"/>
      <c r="G38" s="96"/>
      <c r="H38" s="114"/>
      <c r="I38" s="114"/>
      <c r="J38" s="115"/>
    </row>
    <row r="39" spans="1:10" x14ac:dyDescent="0.2">
      <c r="C39" s="104" t="str">
        <f>Market_Assumptions!$C$10&amp;" Expenses"</f>
        <v>Retail / Entertainment Expenses</v>
      </c>
      <c r="D39" s="96"/>
      <c r="E39" s="96"/>
      <c r="F39" s="98">
        <f t="shared" si="1"/>
        <v>0</v>
      </c>
      <c r="G39" s="180">
        <f>-Market_Assumptions!$I$53</f>
        <v>0</v>
      </c>
      <c r="H39" s="350"/>
      <c r="I39" s="351"/>
      <c r="J39" s="352"/>
    </row>
    <row r="40" spans="1:10" x14ac:dyDescent="0.2">
      <c r="C40" s="104" t="str">
        <f>Market_Assumptions!$C$20&amp;" Expenses"</f>
        <v>Office/Industrial Expenses</v>
      </c>
      <c r="D40" s="96"/>
      <c r="E40" s="96"/>
      <c r="F40" s="98">
        <f t="shared" si="1"/>
        <v>0</v>
      </c>
      <c r="G40" s="180">
        <f>-Market_Assumptions!$I$60</f>
        <v>0</v>
      </c>
      <c r="H40" s="350"/>
      <c r="I40" s="351"/>
      <c r="J40" s="352"/>
    </row>
    <row r="41" spans="1:10" x14ac:dyDescent="0.2">
      <c r="C41" s="104" t="str">
        <f>Market_Assumptions!$C$30&amp;" Expenses"</f>
        <v>Multi-Family Expenses</v>
      </c>
      <c r="D41" s="96"/>
      <c r="E41" s="96"/>
      <c r="F41" s="98">
        <f t="shared" si="1"/>
        <v>0</v>
      </c>
      <c r="G41" s="180">
        <f>-Market_Assumptions!$I$66</f>
        <v>0</v>
      </c>
      <c r="H41" s="140"/>
      <c r="I41" s="141"/>
      <c r="J41" s="142"/>
    </row>
    <row r="42" spans="1:10" x14ac:dyDescent="0.2">
      <c r="C42" s="104" t="str">
        <f>Market_Assumptions!$C$38&amp;" Expenses"</f>
        <v>Hospitality Expenses</v>
      </c>
      <c r="D42" s="96"/>
      <c r="E42" s="96"/>
      <c r="F42" s="98">
        <f t="shared" si="1"/>
        <v>0</v>
      </c>
      <c r="G42" s="180">
        <f>-Market_Assumptions!$I$72</f>
        <v>0</v>
      </c>
      <c r="H42" s="350"/>
      <c r="I42" s="351"/>
      <c r="J42" s="352"/>
    </row>
    <row r="43" spans="1:10" x14ac:dyDescent="0.2">
      <c r="C43" s="104" t="s">
        <v>60</v>
      </c>
      <c r="D43" s="96"/>
      <c r="E43" s="96"/>
      <c r="F43" s="105">
        <f t="shared" si="1"/>
        <v>0</v>
      </c>
      <c r="G43" s="181">
        <f>-(Market_Assumptions!I54+Market_Assumptions!I61+Market_Assumptions!I67+Market_Assumptions!I73)</f>
        <v>0</v>
      </c>
      <c r="H43" s="350"/>
      <c r="I43" s="351"/>
      <c r="J43" s="352"/>
    </row>
    <row r="44" spans="1:10" x14ac:dyDescent="0.2">
      <c r="A44" s="99"/>
      <c r="C44" s="106" t="s">
        <v>109</v>
      </c>
      <c r="D44" s="107"/>
      <c r="E44" s="107"/>
      <c r="F44" s="108">
        <f t="shared" si="1"/>
        <v>0</v>
      </c>
      <c r="G44" s="127">
        <f>SUM(G38:G43)</f>
        <v>0</v>
      </c>
      <c r="H44" s="344"/>
      <c r="I44" s="345"/>
      <c r="J44" s="346"/>
    </row>
    <row r="45" spans="1:10" ht="6" customHeight="1" x14ac:dyDescent="0.2">
      <c r="C45" s="113"/>
      <c r="D45" s="114"/>
      <c r="E45" s="114"/>
      <c r="F45" s="114"/>
      <c r="G45" s="114"/>
      <c r="H45" s="114"/>
      <c r="I45" s="114"/>
      <c r="J45" s="115"/>
    </row>
    <row r="46" spans="1:10" x14ac:dyDescent="0.2">
      <c r="C46" s="100" t="s">
        <v>61</v>
      </c>
      <c r="D46" s="116"/>
      <c r="E46" s="116"/>
      <c r="F46" s="117">
        <f t="shared" si="1"/>
        <v>0</v>
      </c>
      <c r="G46" s="129">
        <f>G44+G37</f>
        <v>0</v>
      </c>
      <c r="H46" s="342"/>
      <c r="I46" s="342"/>
      <c r="J46" s="343"/>
    </row>
    <row r="47" spans="1:10" x14ac:dyDescent="0.2">
      <c r="C47" s="118" t="s">
        <v>65</v>
      </c>
      <c r="D47" s="119"/>
      <c r="E47" s="119"/>
      <c r="F47" s="119"/>
      <c r="G47" s="130">
        <f>G46/G17</f>
        <v>0</v>
      </c>
      <c r="H47" s="119"/>
      <c r="I47" s="119"/>
      <c r="J47" s="134"/>
    </row>
    <row r="49" spans="1:12" x14ac:dyDescent="0.2">
      <c r="C49" s="7" t="s">
        <v>172</v>
      </c>
      <c r="E49" s="247">
        <v>0.1</v>
      </c>
    </row>
    <row r="50" spans="1:12" x14ac:dyDescent="0.2">
      <c r="C50" s="100" t="s">
        <v>66</v>
      </c>
      <c r="D50" s="101"/>
      <c r="E50" s="101"/>
      <c r="F50" s="101"/>
      <c r="G50" s="101"/>
      <c r="H50" s="101"/>
      <c r="I50" s="101"/>
      <c r="J50" s="135"/>
    </row>
    <row r="51" spans="1:12" x14ac:dyDescent="0.2">
      <c r="C51" s="156" t="s">
        <v>72</v>
      </c>
      <c r="D51" s="157"/>
      <c r="E51" s="183">
        <f>G46*(1-E49)</f>
        <v>0</v>
      </c>
      <c r="F51" s="183">
        <f>E51</f>
        <v>0</v>
      </c>
      <c r="G51" s="183">
        <f t="shared" ref="G51:H51" si="2">F51</f>
        <v>0</v>
      </c>
      <c r="H51" s="183">
        <f t="shared" si="2"/>
        <v>0</v>
      </c>
      <c r="I51" s="183">
        <f t="shared" ref="I51:J51" si="3">H51</f>
        <v>0</v>
      </c>
      <c r="J51" s="184">
        <f t="shared" si="3"/>
        <v>0</v>
      </c>
    </row>
    <row r="52" spans="1:12" x14ac:dyDescent="0.2">
      <c r="A52" s="262">
        <v>5.0000000000000001E-3</v>
      </c>
      <c r="C52" s="154" t="s">
        <v>73</v>
      </c>
      <c r="D52" s="155"/>
      <c r="E52" s="263">
        <v>7.4999999999999997E-2</v>
      </c>
      <c r="F52" s="136">
        <f>E52+$A$52</f>
        <v>0.08</v>
      </c>
      <c r="G52" s="136">
        <f t="shared" ref="G52:H52" si="4">F52+$A$52</f>
        <v>8.5000000000000006E-2</v>
      </c>
      <c r="H52" s="136">
        <f t="shared" si="4"/>
        <v>9.0000000000000011E-2</v>
      </c>
      <c r="I52" s="136">
        <f t="shared" ref="I52:J52" si="5">H52+$A$52</f>
        <v>9.5000000000000015E-2</v>
      </c>
      <c r="J52" s="137">
        <f t="shared" si="5"/>
        <v>0.10000000000000002</v>
      </c>
      <c r="L52" s="185" t="s">
        <v>160</v>
      </c>
    </row>
    <row r="53" spans="1:12" x14ac:dyDescent="0.2">
      <c r="C53" s="118" t="s">
        <v>74</v>
      </c>
      <c r="D53" s="158"/>
      <c r="E53" s="138">
        <f>E51/E52</f>
        <v>0</v>
      </c>
      <c r="F53" s="138">
        <f t="shared" ref="F53:H53" si="6">F51/F52</f>
        <v>0</v>
      </c>
      <c r="G53" s="138">
        <f t="shared" si="6"/>
        <v>0</v>
      </c>
      <c r="H53" s="138">
        <f t="shared" si="6"/>
        <v>0</v>
      </c>
      <c r="I53" s="138">
        <f t="shared" ref="I53" si="7">I51/I52</f>
        <v>0</v>
      </c>
      <c r="J53" s="139">
        <f t="shared" ref="J53" si="8">J51/J52</f>
        <v>0</v>
      </c>
    </row>
  </sheetData>
  <mergeCells count="27">
    <mergeCell ref="H15:J15"/>
    <mergeCell ref="H9:J9"/>
    <mergeCell ref="H10:J10"/>
    <mergeCell ref="H12:J12"/>
    <mergeCell ref="H13:J13"/>
    <mergeCell ref="H14:J14"/>
    <mergeCell ref="H11:J11"/>
    <mergeCell ref="H34:J34"/>
    <mergeCell ref="H16:J16"/>
    <mergeCell ref="H17:J17"/>
    <mergeCell ref="H20:J20"/>
    <mergeCell ref="H22:J22"/>
    <mergeCell ref="H23:J23"/>
    <mergeCell ref="H25:J25"/>
    <mergeCell ref="H26:J26"/>
    <mergeCell ref="H28:J28"/>
    <mergeCell ref="H29:J29"/>
    <mergeCell ref="H31:J31"/>
    <mergeCell ref="H32:J32"/>
    <mergeCell ref="H46:J46"/>
    <mergeCell ref="H35:J35"/>
    <mergeCell ref="H37:J37"/>
    <mergeCell ref="H40:J40"/>
    <mergeCell ref="H42:J42"/>
    <mergeCell ref="H43:J43"/>
    <mergeCell ref="H44:J44"/>
    <mergeCell ref="H39:J39"/>
  </mergeCells>
  <pageMargins left="0.38" right="0.38" top="0.5" bottom="0.5" header="0.3" footer="0.25"/>
  <pageSetup scale="88" orientation="portrait" r:id="rId1"/>
  <headerFooter>
    <oddFooter>&amp;L&amp;"Times New Roman,Regular"&amp;8&amp;A&amp;C&amp;"Times New Roman,Regular"&amp;8&amp;P of &amp;N&amp;R&amp;"Times New Roman,Regular"&amp;8&amp;D;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  <pageSetUpPr fitToPage="1"/>
  </sheetPr>
  <dimension ref="C2:AQ75"/>
  <sheetViews>
    <sheetView view="pageBreakPreview" topLeftCell="A7" zoomScale="130" zoomScaleNormal="175" zoomScaleSheetLayoutView="130" zoomScalePageLayoutView="85" workbookViewId="0">
      <selection activeCell="E46" sqref="E46"/>
    </sheetView>
  </sheetViews>
  <sheetFormatPr defaultColWidth="8.85546875" defaultRowHeight="12.75" x14ac:dyDescent="0.25"/>
  <cols>
    <col min="1" max="1" width="8.85546875" style="2"/>
    <col min="2" max="2" width="0.85546875" style="2" customWidth="1"/>
    <col min="3" max="3" width="10.7109375" style="2" customWidth="1"/>
    <col min="4" max="4" width="48.5703125" style="2" customWidth="1"/>
    <col min="5" max="5" width="13.5703125" style="2" bestFit="1" customWidth="1"/>
    <col min="6" max="6" width="10.7109375" style="2" customWidth="1"/>
    <col min="7" max="7" width="13.7109375" style="2" customWidth="1"/>
    <col min="8" max="8" width="14.5703125" style="2" bestFit="1" customWidth="1"/>
    <col min="9" max="9" width="0.85546875" style="2" customWidth="1"/>
    <col min="10" max="10" width="12.28515625" style="3" customWidth="1"/>
    <col min="11" max="14" width="24.140625" style="3" customWidth="1"/>
    <col min="15" max="15" width="14" style="3" customWidth="1"/>
    <col min="16" max="16" width="10.42578125" style="3" bestFit="1" customWidth="1"/>
    <col min="17" max="18" width="13.85546875" style="3" bestFit="1" customWidth="1"/>
    <col min="19" max="22" width="13.5703125" style="3" bestFit="1" customWidth="1"/>
    <col min="23" max="33" width="13.5703125" style="2" bestFit="1" customWidth="1"/>
    <col min="34" max="34" width="11" style="2" bestFit="1" customWidth="1"/>
    <col min="35" max="16384" width="8.85546875" style="2"/>
  </cols>
  <sheetData>
    <row r="2" spans="3:10" ht="15" x14ac:dyDescent="0.25">
      <c r="C2" s="1" t="s">
        <v>0</v>
      </c>
      <c r="D2" s="8" t="s">
        <v>1</v>
      </c>
    </row>
    <row r="3" spans="3:10" ht="15" x14ac:dyDescent="0.25">
      <c r="C3" s="1" t="s">
        <v>2</v>
      </c>
      <c r="D3" s="8" t="str">
        <f>Cover_Page!D4</f>
        <v>Enter Team Name Here</v>
      </c>
    </row>
    <row r="4" spans="3:10" ht="15" x14ac:dyDescent="0.25">
      <c r="C4" s="1" t="s">
        <v>4</v>
      </c>
      <c r="D4" s="5">
        <f ca="1">TODAY()</f>
        <v>44608</v>
      </c>
    </row>
    <row r="5" spans="3:10" ht="15" x14ac:dyDescent="0.25">
      <c r="C5" s="1" t="s">
        <v>5</v>
      </c>
      <c r="D5" s="177">
        <f>Cover_Page!D6</f>
        <v>0</v>
      </c>
    </row>
    <row r="6" spans="3:10" ht="15" x14ac:dyDescent="0.25">
      <c r="C6" s="1" t="s">
        <v>6</v>
      </c>
      <c r="D6" s="178">
        <f>Cover_Page!D7</f>
        <v>225</v>
      </c>
    </row>
    <row r="8" spans="3:10" x14ac:dyDescent="0.25">
      <c r="C8" s="359" t="s">
        <v>20</v>
      </c>
      <c r="D8" s="360"/>
      <c r="E8" s="360"/>
      <c r="F8" s="360"/>
      <c r="G8" s="360"/>
      <c r="H8" s="361"/>
    </row>
    <row r="9" spans="3:10" ht="6" customHeight="1" x14ac:dyDescent="0.25">
      <c r="C9" s="9"/>
      <c r="D9" s="10"/>
      <c r="E9" s="10"/>
      <c r="F9" s="10"/>
      <c r="G9" s="10"/>
      <c r="H9" s="36"/>
    </row>
    <row r="10" spans="3:10" x14ac:dyDescent="0.25">
      <c r="C10" s="11" t="s">
        <v>111</v>
      </c>
      <c r="D10" s="10"/>
      <c r="E10" s="10"/>
      <c r="F10" s="10"/>
      <c r="G10" s="10"/>
      <c r="H10" s="36"/>
    </row>
    <row r="11" spans="3:10" x14ac:dyDescent="0.25">
      <c r="C11" s="12" t="s">
        <v>17</v>
      </c>
      <c r="D11" s="13" t="s">
        <v>8</v>
      </c>
      <c r="E11" s="13" t="s">
        <v>163</v>
      </c>
      <c r="F11" s="13" t="s">
        <v>9</v>
      </c>
      <c r="G11" s="13" t="s">
        <v>10</v>
      </c>
      <c r="H11" s="78" t="s">
        <v>11</v>
      </c>
      <c r="J11" s="3" t="s">
        <v>122</v>
      </c>
    </row>
    <row r="12" spans="3:10" x14ac:dyDescent="0.25">
      <c r="C12" s="16">
        <v>1</v>
      </c>
      <c r="D12" s="163" t="s">
        <v>113</v>
      </c>
      <c r="E12" s="175">
        <f>D6*43560</f>
        <v>9801000</v>
      </c>
      <c r="F12" s="164" t="s">
        <v>13</v>
      </c>
      <c r="G12" s="197">
        <v>5</v>
      </c>
      <c r="H12" s="79">
        <f>E12*G12</f>
        <v>49005000</v>
      </c>
      <c r="J12" s="3" t="s">
        <v>161</v>
      </c>
    </row>
    <row r="13" spans="3:10" x14ac:dyDescent="0.2">
      <c r="C13" s="19">
        <f t="shared" ref="C13" si="0">C12+1</f>
        <v>2</v>
      </c>
      <c r="D13" s="161" t="s">
        <v>112</v>
      </c>
      <c r="E13" s="198">
        <v>0.02</v>
      </c>
      <c r="F13" s="165" t="s">
        <v>119</v>
      </c>
      <c r="G13" s="188">
        <f>H12</f>
        <v>49005000</v>
      </c>
      <c r="H13" s="80">
        <f>E13*G13</f>
        <v>980100</v>
      </c>
      <c r="J13" s="40" t="s">
        <v>162</v>
      </c>
    </row>
    <row r="14" spans="3:10" x14ac:dyDescent="0.25">
      <c r="C14" s="159" t="s">
        <v>16</v>
      </c>
      <c r="D14" s="29"/>
      <c r="E14" s="81"/>
      <c r="F14" s="82"/>
      <c r="G14" s="83"/>
      <c r="H14" s="84">
        <f>SUM(H12:H13)</f>
        <v>49985100</v>
      </c>
    </row>
    <row r="15" spans="3:10" ht="6" customHeight="1" x14ac:dyDescent="0.25">
      <c r="C15" s="9"/>
      <c r="D15" s="10"/>
      <c r="E15" s="10"/>
      <c r="F15" s="10"/>
      <c r="G15" s="10"/>
      <c r="H15" s="36"/>
    </row>
    <row r="16" spans="3:10" x14ac:dyDescent="0.25">
      <c r="C16" s="11" t="s">
        <v>7</v>
      </c>
      <c r="D16" s="10"/>
      <c r="E16" s="10"/>
      <c r="F16" s="10"/>
      <c r="G16" s="10"/>
      <c r="H16" s="36"/>
    </row>
    <row r="17" spans="3:43" x14ac:dyDescent="0.25">
      <c r="C17" s="12" t="s">
        <v>17</v>
      </c>
      <c r="D17" s="13" t="s">
        <v>8</v>
      </c>
      <c r="E17" s="13" t="s">
        <v>163</v>
      </c>
      <c r="F17" s="13" t="s">
        <v>9</v>
      </c>
      <c r="G17" s="13" t="s">
        <v>10</v>
      </c>
      <c r="H17" s="78" t="s">
        <v>11</v>
      </c>
    </row>
    <row r="18" spans="3:43" x14ac:dyDescent="0.25">
      <c r="C18" s="19">
        <v>1</v>
      </c>
      <c r="D18" s="161" t="s">
        <v>114</v>
      </c>
      <c r="E18" s="187">
        <f>+D5</f>
        <v>0</v>
      </c>
      <c r="F18" s="164" t="s">
        <v>13</v>
      </c>
      <c r="G18" s="199">
        <v>0</v>
      </c>
      <c r="H18" s="80">
        <f t="shared" ref="H18:H19" si="1">E18*G18</f>
        <v>0</v>
      </c>
      <c r="J18" s="3" t="s">
        <v>124</v>
      </c>
    </row>
    <row r="19" spans="3:43" x14ac:dyDescent="0.25">
      <c r="C19" s="19">
        <f t="shared" ref="C19:C25" si="2">C18+1</f>
        <v>2</v>
      </c>
      <c r="D19" s="162" t="s">
        <v>204</v>
      </c>
      <c r="E19" s="210">
        <f>D5</f>
        <v>0</v>
      </c>
      <c r="F19" s="166" t="s">
        <v>13</v>
      </c>
      <c r="G19" s="200">
        <v>0</v>
      </c>
      <c r="H19" s="80">
        <f t="shared" si="1"/>
        <v>0</v>
      </c>
      <c r="J19" s="3" t="s">
        <v>234</v>
      </c>
    </row>
    <row r="20" spans="3:43" x14ac:dyDescent="0.25">
      <c r="C20" s="19">
        <f t="shared" si="2"/>
        <v>3</v>
      </c>
      <c r="D20" s="162" t="s">
        <v>115</v>
      </c>
      <c r="E20" s="209">
        <v>1</v>
      </c>
      <c r="F20" s="298" t="s">
        <v>116</v>
      </c>
      <c r="G20" s="271">
        <v>0</v>
      </c>
      <c r="H20" s="167">
        <f>G20*E20</f>
        <v>0</v>
      </c>
      <c r="J20" s="3" t="s">
        <v>232</v>
      </c>
    </row>
    <row r="21" spans="3:43" x14ac:dyDescent="0.25">
      <c r="C21" s="19">
        <f t="shared" si="2"/>
        <v>4</v>
      </c>
      <c r="D21" s="161" t="s">
        <v>207</v>
      </c>
      <c r="E21" s="209">
        <v>1</v>
      </c>
      <c r="F21" s="166" t="s">
        <v>116</v>
      </c>
      <c r="G21" s="201">
        <v>0</v>
      </c>
      <c r="H21" s="167">
        <f>G21*E21</f>
        <v>0</v>
      </c>
      <c r="J21" s="3" t="s">
        <v>233</v>
      </c>
    </row>
    <row r="22" spans="3:43" x14ac:dyDescent="0.25">
      <c r="C22" s="19">
        <f t="shared" si="2"/>
        <v>5</v>
      </c>
      <c r="D22" s="162" t="s">
        <v>205</v>
      </c>
      <c r="E22" s="209">
        <f>D5</f>
        <v>0</v>
      </c>
      <c r="F22" s="166" t="s">
        <v>13</v>
      </c>
      <c r="G22" s="201">
        <v>0</v>
      </c>
      <c r="H22" s="167">
        <f>G22*E22</f>
        <v>0</v>
      </c>
      <c r="O22" s="3" t="s">
        <v>240</v>
      </c>
      <c r="P22" s="330" t="e">
        <f>P23*0.005</f>
        <v>#DIV/0!</v>
      </c>
      <c r="Q22" s="322"/>
      <c r="R22" s="322"/>
      <c r="S22" s="322"/>
      <c r="T22" s="322"/>
      <c r="U22" s="322"/>
      <c r="V22" s="322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</row>
    <row r="23" spans="3:43" x14ac:dyDescent="0.25">
      <c r="C23" s="19">
        <f t="shared" si="2"/>
        <v>6</v>
      </c>
      <c r="D23" s="162" t="s">
        <v>120</v>
      </c>
      <c r="E23" s="245">
        <f>H42+H51</f>
        <v>0</v>
      </c>
      <c r="F23" s="166" t="s">
        <v>119</v>
      </c>
      <c r="G23" s="202">
        <v>0</v>
      </c>
      <c r="H23" s="167">
        <f>G23*E23</f>
        <v>0</v>
      </c>
      <c r="J23" s="160" t="s">
        <v>236</v>
      </c>
      <c r="O23" s="3" t="s">
        <v>183</v>
      </c>
      <c r="P23" s="321" t="e">
        <f>'Financing Summary'!G31</f>
        <v>#DIV/0!</v>
      </c>
      <c r="Q23" s="322"/>
      <c r="R23" s="322"/>
      <c r="S23" s="322"/>
      <c r="T23" s="322"/>
      <c r="U23" s="322"/>
      <c r="V23" s="322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</row>
    <row r="24" spans="3:43" x14ac:dyDescent="0.25">
      <c r="C24" s="19">
        <f t="shared" si="2"/>
        <v>7</v>
      </c>
      <c r="D24" s="162" t="s">
        <v>206</v>
      </c>
      <c r="E24" s="245">
        <f>H42</f>
        <v>0</v>
      </c>
      <c r="F24" s="166" t="s">
        <v>119</v>
      </c>
      <c r="G24" s="249">
        <v>0</v>
      </c>
      <c r="H24" s="167">
        <f>G24*E24</f>
        <v>0</v>
      </c>
      <c r="J24" s="160"/>
      <c r="O24" s="3" t="s">
        <v>243</v>
      </c>
      <c r="P24" s="324">
        <v>18</v>
      </c>
      <c r="Q24" s="322"/>
      <c r="R24" s="322"/>
      <c r="S24" s="322"/>
      <c r="T24" s="322"/>
      <c r="U24" s="322"/>
      <c r="V24" s="322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</row>
    <row r="25" spans="3:43" x14ac:dyDescent="0.25">
      <c r="C25" s="19">
        <f t="shared" si="2"/>
        <v>8</v>
      </c>
      <c r="D25" s="162" t="s">
        <v>125</v>
      </c>
      <c r="E25" s="187">
        <v>1</v>
      </c>
      <c r="F25" s="166" t="s">
        <v>116</v>
      </c>
      <c r="G25" s="200">
        <v>0</v>
      </c>
      <c r="H25" s="167">
        <f t="shared" ref="H25" si="3">E25*G25</f>
        <v>0</v>
      </c>
      <c r="J25" s="160" t="s">
        <v>169</v>
      </c>
      <c r="O25" s="3" t="s">
        <v>242</v>
      </c>
      <c r="P25" s="324"/>
      <c r="Q25" s="325">
        <v>7</v>
      </c>
      <c r="R25" s="324">
        <v>8</v>
      </c>
      <c r="S25" s="325">
        <v>9</v>
      </c>
      <c r="T25" s="324">
        <v>10</v>
      </c>
      <c r="U25" s="325">
        <v>11</v>
      </c>
      <c r="V25" s="324">
        <v>12</v>
      </c>
      <c r="W25" s="325">
        <v>13</v>
      </c>
      <c r="X25" s="324">
        <v>14</v>
      </c>
      <c r="Y25" s="325">
        <v>15</v>
      </c>
      <c r="Z25" s="324">
        <v>16</v>
      </c>
      <c r="AA25" s="325">
        <v>17</v>
      </c>
      <c r="AB25" s="324">
        <v>18</v>
      </c>
      <c r="AC25" s="325">
        <v>19</v>
      </c>
      <c r="AD25" s="324">
        <v>20</v>
      </c>
      <c r="AE25" s="325">
        <v>21</v>
      </c>
      <c r="AF25" s="324">
        <v>22</v>
      </c>
      <c r="AG25" s="325">
        <v>23</v>
      </c>
      <c r="AH25" s="325">
        <v>24</v>
      </c>
      <c r="AI25" s="274"/>
      <c r="AJ25" s="275"/>
      <c r="AK25" s="275"/>
      <c r="AL25" s="275"/>
      <c r="AM25" s="275"/>
      <c r="AN25" s="275"/>
    </row>
    <row r="26" spans="3:43" s="274" customFormat="1" x14ac:dyDescent="0.25">
      <c r="C26" s="285">
        <v>9</v>
      </c>
      <c r="D26" s="297" t="s">
        <v>237</v>
      </c>
      <c r="E26" s="270">
        <v>1</v>
      </c>
      <c r="F26" s="298" t="s">
        <v>116</v>
      </c>
      <c r="G26" s="331">
        <v>0.06</v>
      </c>
      <c r="H26" s="332">
        <v>0</v>
      </c>
      <c r="J26" s="296" t="s">
        <v>245</v>
      </c>
      <c r="K26" s="275"/>
      <c r="L26" s="275"/>
      <c r="M26" s="275"/>
      <c r="N26" s="275"/>
      <c r="O26" s="275"/>
      <c r="P26" s="322"/>
      <c r="Q26" s="323"/>
      <c r="R26" s="322"/>
      <c r="S26" s="323"/>
      <c r="T26" s="322"/>
      <c r="U26" s="323"/>
      <c r="V26" s="322"/>
      <c r="W26" s="323"/>
      <c r="X26" s="322"/>
      <c r="Y26" s="323"/>
      <c r="Z26" s="322"/>
      <c r="AA26" s="323"/>
      <c r="AB26" s="322"/>
      <c r="AC26" s="323"/>
      <c r="AD26" s="322"/>
      <c r="AE26" s="323"/>
      <c r="AF26" s="322"/>
      <c r="AG26" s="323"/>
      <c r="AH26" s="323"/>
      <c r="AI26" s="321"/>
      <c r="AJ26" s="321"/>
      <c r="AK26" s="275"/>
      <c r="AL26" s="275"/>
      <c r="AM26" s="275"/>
      <c r="AN26" s="275"/>
    </row>
    <row r="27" spans="3:43" s="274" customFormat="1" x14ac:dyDescent="0.25">
      <c r="C27" s="285">
        <v>10</v>
      </c>
      <c r="D27" s="297" t="s">
        <v>238</v>
      </c>
      <c r="E27" s="270">
        <v>1</v>
      </c>
      <c r="F27" s="298" t="s">
        <v>116</v>
      </c>
      <c r="G27" s="331">
        <v>5.0000000000000001E-3</v>
      </c>
      <c r="H27" s="332">
        <v>0</v>
      </c>
      <c r="J27" s="296" t="s">
        <v>239</v>
      </c>
      <c r="K27" s="275"/>
      <c r="L27" s="275"/>
      <c r="M27" s="275"/>
      <c r="N27" s="275"/>
      <c r="O27" s="275"/>
      <c r="P27" s="323"/>
      <c r="Q27" s="323" t="e">
        <f>$P$29</f>
        <v>#DIV/0!</v>
      </c>
      <c r="R27" s="323" t="e">
        <f t="shared" ref="R27:AH27" si="4">$P$29</f>
        <v>#DIV/0!</v>
      </c>
      <c r="S27" s="323" t="e">
        <f t="shared" si="4"/>
        <v>#DIV/0!</v>
      </c>
      <c r="T27" s="323" t="e">
        <f t="shared" si="4"/>
        <v>#DIV/0!</v>
      </c>
      <c r="U27" s="323" t="e">
        <f t="shared" si="4"/>
        <v>#DIV/0!</v>
      </c>
      <c r="V27" s="323" t="e">
        <f t="shared" si="4"/>
        <v>#DIV/0!</v>
      </c>
      <c r="W27" s="323" t="e">
        <f t="shared" si="4"/>
        <v>#DIV/0!</v>
      </c>
      <c r="X27" s="323" t="e">
        <f t="shared" si="4"/>
        <v>#DIV/0!</v>
      </c>
      <c r="Y27" s="323" t="e">
        <f t="shared" si="4"/>
        <v>#DIV/0!</v>
      </c>
      <c r="Z27" s="323" t="e">
        <f t="shared" si="4"/>
        <v>#DIV/0!</v>
      </c>
      <c r="AA27" s="323" t="e">
        <f t="shared" si="4"/>
        <v>#DIV/0!</v>
      </c>
      <c r="AB27" s="323" t="e">
        <f t="shared" si="4"/>
        <v>#DIV/0!</v>
      </c>
      <c r="AC27" s="323" t="e">
        <f t="shared" si="4"/>
        <v>#DIV/0!</v>
      </c>
      <c r="AD27" s="323" t="e">
        <f t="shared" si="4"/>
        <v>#DIV/0!</v>
      </c>
      <c r="AE27" s="323" t="e">
        <f t="shared" si="4"/>
        <v>#DIV/0!</v>
      </c>
      <c r="AF27" s="323" t="e">
        <f t="shared" si="4"/>
        <v>#DIV/0!</v>
      </c>
      <c r="AG27" s="323" t="e">
        <f t="shared" si="4"/>
        <v>#DIV/0!</v>
      </c>
      <c r="AH27" s="323" t="e">
        <f t="shared" si="4"/>
        <v>#DIV/0!</v>
      </c>
      <c r="AI27" s="321"/>
      <c r="AJ27" s="321"/>
      <c r="AK27" s="275"/>
      <c r="AL27" s="275"/>
      <c r="AM27" s="275"/>
    </row>
    <row r="28" spans="3:43" x14ac:dyDescent="0.25">
      <c r="C28" s="19">
        <v>11</v>
      </c>
      <c r="D28" s="162" t="s">
        <v>121</v>
      </c>
      <c r="E28" s="209">
        <f>SUM(H18:H25)</f>
        <v>0</v>
      </c>
      <c r="F28" s="166" t="s">
        <v>119</v>
      </c>
      <c r="G28" s="202">
        <v>0</v>
      </c>
      <c r="H28" s="167">
        <f>E28*G28</f>
        <v>0</v>
      </c>
      <c r="J28" s="3" t="s">
        <v>123</v>
      </c>
      <c r="O28" s="275" t="s">
        <v>241</v>
      </c>
      <c r="P28" s="329" t="e">
        <f>SUM(Q28:AG28)</f>
        <v>#DIV/0!</v>
      </c>
      <c r="Q28" s="321" t="e">
        <f>(P29*0.0625)/12</f>
        <v>#DIV/0!</v>
      </c>
      <c r="R28" s="321" t="e">
        <f t="shared" ref="R28:AH28" si="5">(Q29*0.065)/12</f>
        <v>#DIV/0!</v>
      </c>
      <c r="S28" s="321" t="e">
        <f t="shared" si="5"/>
        <v>#DIV/0!</v>
      </c>
      <c r="T28" s="321" t="e">
        <f t="shared" si="5"/>
        <v>#DIV/0!</v>
      </c>
      <c r="U28" s="321" t="e">
        <f t="shared" si="5"/>
        <v>#DIV/0!</v>
      </c>
      <c r="V28" s="321" t="e">
        <f t="shared" si="5"/>
        <v>#DIV/0!</v>
      </c>
      <c r="W28" s="321" t="e">
        <f t="shared" si="5"/>
        <v>#DIV/0!</v>
      </c>
      <c r="X28" s="321" t="e">
        <f t="shared" si="5"/>
        <v>#DIV/0!</v>
      </c>
      <c r="Y28" s="321" t="e">
        <f t="shared" si="5"/>
        <v>#DIV/0!</v>
      </c>
      <c r="Z28" s="321" t="e">
        <f t="shared" si="5"/>
        <v>#DIV/0!</v>
      </c>
      <c r="AA28" s="321" t="e">
        <f t="shared" si="5"/>
        <v>#DIV/0!</v>
      </c>
      <c r="AB28" s="321" t="e">
        <f>(AA29*0.065)/12</f>
        <v>#DIV/0!</v>
      </c>
      <c r="AC28" s="321" t="e">
        <f t="shared" si="5"/>
        <v>#DIV/0!</v>
      </c>
      <c r="AD28" s="321" t="e">
        <f t="shared" si="5"/>
        <v>#DIV/0!</v>
      </c>
      <c r="AE28" s="321" t="e">
        <f t="shared" si="5"/>
        <v>#DIV/0!</v>
      </c>
      <c r="AF28" s="321" t="e">
        <f t="shared" si="5"/>
        <v>#DIV/0!</v>
      </c>
      <c r="AG28" s="321" t="e">
        <f t="shared" si="5"/>
        <v>#DIV/0!</v>
      </c>
      <c r="AH28" s="321" t="e">
        <f t="shared" si="5"/>
        <v>#DIV/0!</v>
      </c>
      <c r="AI28" s="274"/>
      <c r="AJ28" s="274"/>
      <c r="AK28" s="274"/>
      <c r="AL28" s="274"/>
      <c r="AM28" s="274"/>
      <c r="AN28" s="275"/>
      <c r="AO28" s="275"/>
      <c r="AP28" s="275"/>
      <c r="AQ28" s="275"/>
    </row>
    <row r="29" spans="3:43" x14ac:dyDescent="0.25">
      <c r="C29" s="28" t="s">
        <v>16</v>
      </c>
      <c r="D29" s="29"/>
      <c r="E29" s="81"/>
      <c r="F29" s="82"/>
      <c r="G29" s="83" t="e">
        <f>H29/D5</f>
        <v>#DIV/0!</v>
      </c>
      <c r="H29" s="84">
        <f>SUM(H18:H28)</f>
        <v>0</v>
      </c>
      <c r="P29" s="321" t="e">
        <f>P23/P24</f>
        <v>#DIV/0!</v>
      </c>
      <c r="Q29" s="321" t="e">
        <f>P29+Q27+Q28</f>
        <v>#DIV/0!</v>
      </c>
      <c r="R29" s="321" t="e">
        <f t="shared" ref="R29:AH29" si="6">Q29+R27+R28</f>
        <v>#DIV/0!</v>
      </c>
      <c r="S29" s="321" t="e">
        <f t="shared" si="6"/>
        <v>#DIV/0!</v>
      </c>
      <c r="T29" s="321" t="e">
        <f t="shared" si="6"/>
        <v>#DIV/0!</v>
      </c>
      <c r="U29" s="321" t="e">
        <f t="shared" si="6"/>
        <v>#DIV/0!</v>
      </c>
      <c r="V29" s="321" t="e">
        <f t="shared" si="6"/>
        <v>#DIV/0!</v>
      </c>
      <c r="W29" s="321" t="e">
        <f t="shared" si="6"/>
        <v>#DIV/0!</v>
      </c>
      <c r="X29" s="321" t="e">
        <f t="shared" si="6"/>
        <v>#DIV/0!</v>
      </c>
      <c r="Y29" s="321" t="e">
        <f t="shared" si="6"/>
        <v>#DIV/0!</v>
      </c>
      <c r="Z29" s="321" t="e">
        <f t="shared" si="6"/>
        <v>#DIV/0!</v>
      </c>
      <c r="AA29" s="321" t="e">
        <f t="shared" si="6"/>
        <v>#DIV/0!</v>
      </c>
      <c r="AB29" s="321" t="e">
        <f t="shared" si="6"/>
        <v>#DIV/0!</v>
      </c>
      <c r="AC29" s="321" t="e">
        <f t="shared" si="6"/>
        <v>#DIV/0!</v>
      </c>
      <c r="AD29" s="321" t="e">
        <f t="shared" si="6"/>
        <v>#DIV/0!</v>
      </c>
      <c r="AE29" s="321" t="e">
        <f t="shared" si="6"/>
        <v>#DIV/0!</v>
      </c>
      <c r="AF29" s="321" t="e">
        <f t="shared" si="6"/>
        <v>#DIV/0!</v>
      </c>
      <c r="AG29" s="321" t="e">
        <f t="shared" si="6"/>
        <v>#DIV/0!</v>
      </c>
      <c r="AH29" s="321" t="e">
        <f t="shared" si="6"/>
        <v>#DIV/0!</v>
      </c>
      <c r="AI29" s="275"/>
      <c r="AJ29" s="275"/>
      <c r="AK29" s="275"/>
      <c r="AL29" s="275"/>
      <c r="AM29" s="275"/>
    </row>
    <row r="30" spans="3:43" ht="6" customHeight="1" x14ac:dyDescent="0.25">
      <c r="C30" s="9"/>
      <c r="D30" s="10"/>
      <c r="E30" s="10"/>
      <c r="F30" s="10"/>
      <c r="G30" s="10"/>
      <c r="H30" s="36"/>
      <c r="Q30" s="2"/>
      <c r="R30" s="2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5"/>
      <c r="AF30" s="275"/>
      <c r="AG30" s="275"/>
    </row>
    <row r="31" spans="3:43" x14ac:dyDescent="0.25">
      <c r="C31" s="11" t="s">
        <v>21</v>
      </c>
      <c r="D31" s="10"/>
      <c r="E31" s="10"/>
      <c r="F31" s="10"/>
      <c r="G31" s="10"/>
      <c r="H31" s="36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</row>
    <row r="32" spans="3:43" x14ac:dyDescent="0.25">
      <c r="C32" s="12" t="s">
        <v>17</v>
      </c>
      <c r="D32" s="13" t="s">
        <v>8</v>
      </c>
      <c r="E32" s="13" t="s">
        <v>163</v>
      </c>
      <c r="F32" s="13" t="s">
        <v>9</v>
      </c>
      <c r="G32" s="13" t="s">
        <v>10</v>
      </c>
      <c r="H32" s="78" t="s">
        <v>11</v>
      </c>
    </row>
    <row r="33" spans="3:11" x14ac:dyDescent="0.25">
      <c r="C33" s="16">
        <v>1</v>
      </c>
      <c r="D33" s="163" t="s">
        <v>126</v>
      </c>
      <c r="E33" s="204">
        <v>0</v>
      </c>
      <c r="F33" s="164" t="s">
        <v>132</v>
      </c>
      <c r="G33" s="205">
        <v>0</v>
      </c>
      <c r="H33" s="79">
        <f t="shared" ref="H33:H41" si="7">E33*G33</f>
        <v>0</v>
      </c>
      <c r="J33" s="3" t="s">
        <v>135</v>
      </c>
    </row>
    <row r="34" spans="3:11" x14ac:dyDescent="0.2">
      <c r="C34" s="19">
        <f t="shared" ref="C34:C41" si="8">C33+1</f>
        <v>2</v>
      </c>
      <c r="D34" s="161" t="s">
        <v>208</v>
      </c>
      <c r="E34" s="252">
        <v>1</v>
      </c>
      <c r="F34" s="165" t="s">
        <v>131</v>
      </c>
      <c r="G34" s="251">
        <v>0</v>
      </c>
      <c r="H34" s="80">
        <f t="shared" si="7"/>
        <v>0</v>
      </c>
      <c r="J34" s="40"/>
    </row>
    <row r="35" spans="3:11" x14ac:dyDescent="0.25">
      <c r="C35" s="19">
        <f t="shared" si="8"/>
        <v>3</v>
      </c>
      <c r="D35" s="161" t="s">
        <v>127</v>
      </c>
      <c r="E35" s="203">
        <v>0</v>
      </c>
      <c r="F35" s="165" t="s">
        <v>132</v>
      </c>
      <c r="G35" s="206">
        <v>0</v>
      </c>
      <c r="H35" s="80">
        <f t="shared" si="7"/>
        <v>0</v>
      </c>
      <c r="J35" s="3" t="s">
        <v>136</v>
      </c>
    </row>
    <row r="36" spans="3:11" x14ac:dyDescent="0.25">
      <c r="C36" s="19">
        <f t="shared" si="8"/>
        <v>4</v>
      </c>
      <c r="D36" s="161" t="s">
        <v>128</v>
      </c>
      <c r="E36" s="203">
        <v>0</v>
      </c>
      <c r="F36" s="165" t="s">
        <v>133</v>
      </c>
      <c r="G36" s="206">
        <v>0</v>
      </c>
      <c r="H36" s="80">
        <f t="shared" si="7"/>
        <v>0</v>
      </c>
      <c r="J36" s="3" t="s">
        <v>137</v>
      </c>
    </row>
    <row r="37" spans="3:11" x14ac:dyDescent="0.25">
      <c r="C37" s="19">
        <f t="shared" si="8"/>
        <v>5</v>
      </c>
      <c r="D37" s="161" t="s">
        <v>129</v>
      </c>
      <c r="E37" s="203">
        <v>0</v>
      </c>
      <c r="F37" s="165" t="s">
        <v>134</v>
      </c>
      <c r="G37" s="206">
        <v>0</v>
      </c>
      <c r="H37" s="80">
        <f t="shared" si="7"/>
        <v>0</v>
      </c>
      <c r="J37" s="3" t="s">
        <v>138</v>
      </c>
    </row>
    <row r="38" spans="3:11" x14ac:dyDescent="0.25">
      <c r="C38" s="19">
        <f t="shared" si="8"/>
        <v>6</v>
      </c>
      <c r="D38" s="161" t="s">
        <v>130</v>
      </c>
      <c r="E38" s="203">
        <v>0</v>
      </c>
      <c r="F38" s="165" t="s">
        <v>134</v>
      </c>
      <c r="G38" s="206">
        <v>0</v>
      </c>
      <c r="H38" s="80">
        <f t="shared" si="7"/>
        <v>0</v>
      </c>
      <c r="J38" s="3" t="s">
        <v>139</v>
      </c>
    </row>
    <row r="39" spans="3:11" x14ac:dyDescent="0.25">
      <c r="C39" s="19">
        <f t="shared" si="8"/>
        <v>7</v>
      </c>
      <c r="D39" s="161" t="s">
        <v>140</v>
      </c>
      <c r="E39" s="210">
        <v>1</v>
      </c>
      <c r="F39" s="165" t="s">
        <v>116</v>
      </c>
      <c r="G39" s="206">
        <v>0</v>
      </c>
      <c r="H39" s="80">
        <f t="shared" si="7"/>
        <v>0</v>
      </c>
      <c r="J39" s="3" t="s">
        <v>168</v>
      </c>
    </row>
    <row r="40" spans="3:11" x14ac:dyDescent="0.25">
      <c r="C40" s="19">
        <f t="shared" si="8"/>
        <v>8</v>
      </c>
      <c r="D40" s="235" t="s">
        <v>164</v>
      </c>
      <c r="E40" s="210">
        <v>1</v>
      </c>
      <c r="F40" s="166" t="s">
        <v>116</v>
      </c>
      <c r="G40" s="246">
        <v>0</v>
      </c>
      <c r="H40" s="80">
        <f t="shared" si="7"/>
        <v>0</v>
      </c>
      <c r="J40" s="3" t="s">
        <v>170</v>
      </c>
    </row>
    <row r="41" spans="3:11" x14ac:dyDescent="0.25">
      <c r="C41" s="19">
        <f t="shared" si="8"/>
        <v>9</v>
      </c>
      <c r="D41" s="161" t="s">
        <v>121</v>
      </c>
      <c r="E41" s="237">
        <f>SUM(H33:H40)</f>
        <v>0</v>
      </c>
      <c r="F41" s="166" t="s">
        <v>119</v>
      </c>
      <c r="G41" s="236">
        <v>0.05</v>
      </c>
      <c r="H41" s="80">
        <f t="shared" si="7"/>
        <v>0</v>
      </c>
      <c r="J41" s="3" t="s">
        <v>244</v>
      </c>
    </row>
    <row r="42" spans="3:11" x14ac:dyDescent="0.25">
      <c r="C42" s="28" t="s">
        <v>16</v>
      </c>
      <c r="D42" s="29"/>
      <c r="E42" s="81"/>
      <c r="F42" s="82"/>
      <c r="G42" s="83"/>
      <c r="H42" s="84">
        <f>SUM(H33:H41)</f>
        <v>0</v>
      </c>
    </row>
    <row r="43" spans="3:11" ht="6" customHeight="1" x14ac:dyDescent="0.25">
      <c r="C43" s="9"/>
      <c r="D43" s="10"/>
      <c r="E43" s="10"/>
      <c r="F43" s="10"/>
      <c r="G43" s="10"/>
      <c r="H43" s="36"/>
    </row>
    <row r="44" spans="3:11" x14ac:dyDescent="0.25">
      <c r="C44" s="11" t="s">
        <v>117</v>
      </c>
      <c r="D44" s="10"/>
      <c r="E44" s="10"/>
      <c r="F44" s="10"/>
      <c r="G44" s="10"/>
      <c r="H44" s="36"/>
    </row>
    <row r="45" spans="3:11" x14ac:dyDescent="0.25">
      <c r="C45" s="12" t="s">
        <v>17</v>
      </c>
      <c r="D45" s="13" t="s">
        <v>8</v>
      </c>
      <c r="E45" s="13" t="s">
        <v>163</v>
      </c>
      <c r="F45" s="13" t="s">
        <v>9</v>
      </c>
      <c r="G45" s="13" t="s">
        <v>10</v>
      </c>
      <c r="H45" s="78" t="s">
        <v>11</v>
      </c>
    </row>
    <row r="46" spans="3:11" x14ac:dyDescent="0.25">
      <c r="C46" s="16">
        <v>1</v>
      </c>
      <c r="D46" s="85" t="s">
        <v>38</v>
      </c>
      <c r="E46" s="186">
        <f>Market_Assumptions!E18+Market_Assumptions!E28</f>
        <v>0</v>
      </c>
      <c r="F46" s="86" t="s">
        <v>13</v>
      </c>
      <c r="G46" s="87" t="e">
        <f>H46/E46</f>
        <v>#DIV/0!</v>
      </c>
      <c r="H46" s="79">
        <f>Market_Assumptions!L44</f>
        <v>0</v>
      </c>
      <c r="J46" s="88" t="s">
        <v>68</v>
      </c>
    </row>
    <row r="47" spans="3:11" ht="12.75" customHeight="1" x14ac:dyDescent="0.25">
      <c r="C47" s="16">
        <v>2</v>
      </c>
      <c r="D47" s="161" t="s">
        <v>213</v>
      </c>
      <c r="E47" s="300">
        <f>Market_Assumptions!E42</f>
        <v>0</v>
      </c>
      <c r="F47" s="165" t="s">
        <v>13</v>
      </c>
      <c r="G47" s="207">
        <v>0</v>
      </c>
      <c r="H47" s="80">
        <f t="shared" ref="H47:H49" si="9">E47*G47</f>
        <v>0</v>
      </c>
      <c r="J47" s="362"/>
      <c r="K47" s="362"/>
    </row>
    <row r="48" spans="3:11" x14ac:dyDescent="0.25">
      <c r="C48" s="16">
        <v>3</v>
      </c>
      <c r="D48" s="161" t="s">
        <v>141</v>
      </c>
      <c r="E48" s="300">
        <f>Market_Assumptions!E28</f>
        <v>0</v>
      </c>
      <c r="F48" s="165" t="s">
        <v>13</v>
      </c>
      <c r="G48" s="207">
        <v>0</v>
      </c>
      <c r="H48" s="80">
        <f t="shared" si="9"/>
        <v>0</v>
      </c>
      <c r="J48" s="362"/>
      <c r="K48" s="362"/>
    </row>
    <row r="49" spans="3:11" x14ac:dyDescent="0.25">
      <c r="C49" s="16">
        <v>4</v>
      </c>
      <c r="D49" s="161" t="s">
        <v>165</v>
      </c>
      <c r="E49" s="300">
        <f>Market_Assumptions!E18</f>
        <v>0</v>
      </c>
      <c r="F49" s="165" t="s">
        <v>13</v>
      </c>
      <c r="G49" s="207">
        <v>0</v>
      </c>
      <c r="H49" s="80">
        <f t="shared" si="9"/>
        <v>0</v>
      </c>
      <c r="J49" s="362"/>
      <c r="K49" s="362"/>
    </row>
    <row r="50" spans="3:11" x14ac:dyDescent="0.25">
      <c r="C50" s="16">
        <v>5</v>
      </c>
      <c r="D50" s="161" t="s">
        <v>235</v>
      </c>
      <c r="E50" s="300">
        <f>Market_Assumptions!E36</f>
        <v>0</v>
      </c>
      <c r="F50" s="165" t="s">
        <v>13</v>
      </c>
      <c r="G50" s="207">
        <v>0</v>
      </c>
      <c r="H50" s="80">
        <f t="shared" ref="H50" si="10">E50*G50</f>
        <v>0</v>
      </c>
      <c r="J50" s="362"/>
      <c r="K50" s="362"/>
    </row>
    <row r="51" spans="3:11" x14ac:dyDescent="0.25">
      <c r="C51" s="28" t="s">
        <v>16</v>
      </c>
      <c r="D51" s="29"/>
      <c r="E51" s="81"/>
      <c r="F51" s="82"/>
      <c r="G51" s="83"/>
      <c r="H51" s="84">
        <f>SUM(H46:H50)</f>
        <v>0</v>
      </c>
    </row>
    <row r="52" spans="3:11" ht="6" customHeight="1" x14ac:dyDescent="0.25">
      <c r="C52" s="9"/>
      <c r="D52" s="10"/>
      <c r="E52" s="10"/>
      <c r="F52" s="10"/>
      <c r="G52" s="10"/>
      <c r="H52" s="36"/>
    </row>
    <row r="53" spans="3:11" x14ac:dyDescent="0.25">
      <c r="C53" s="11" t="s">
        <v>18</v>
      </c>
      <c r="D53" s="10"/>
      <c r="E53" s="10"/>
      <c r="F53" s="10"/>
      <c r="G53" s="10"/>
      <c r="H53" s="36"/>
    </row>
    <row r="54" spans="3:11" x14ac:dyDescent="0.25">
      <c r="C54" s="12" t="s">
        <v>17</v>
      </c>
      <c r="D54" s="13" t="s">
        <v>8</v>
      </c>
      <c r="E54" s="13" t="s">
        <v>163</v>
      </c>
      <c r="F54" s="13" t="s">
        <v>9</v>
      </c>
      <c r="G54" s="13" t="s">
        <v>10</v>
      </c>
      <c r="H54" s="78" t="s">
        <v>11</v>
      </c>
    </row>
    <row r="55" spans="3:11" x14ac:dyDescent="0.25">
      <c r="C55" s="16">
        <v>1</v>
      </c>
      <c r="D55" s="85" t="s">
        <v>39</v>
      </c>
      <c r="E55" s="186">
        <f>Market_Assumptions!E18+Market_Assumptions!E28</f>
        <v>0</v>
      </c>
      <c r="F55" s="86" t="s">
        <v>13</v>
      </c>
      <c r="G55" s="87" t="e">
        <f>H55/E55</f>
        <v>#DIV/0!</v>
      </c>
      <c r="H55" s="79">
        <f>Market_Assumptions!N44</f>
        <v>0</v>
      </c>
      <c r="J55" s="88" t="s">
        <v>68</v>
      </c>
    </row>
    <row r="56" spans="3:11" x14ac:dyDescent="0.2">
      <c r="C56" s="19">
        <f>C55+1</f>
        <v>2</v>
      </c>
      <c r="D56" s="120"/>
      <c r="E56" s="121">
        <v>0</v>
      </c>
      <c r="F56" s="125"/>
      <c r="G56" s="208">
        <v>0</v>
      </c>
      <c r="H56" s="80">
        <f>E56*G56</f>
        <v>0</v>
      </c>
      <c r="J56" s="40"/>
    </row>
    <row r="57" spans="3:11" x14ac:dyDescent="0.2">
      <c r="C57" s="19">
        <f>C56+1</f>
        <v>3</v>
      </c>
      <c r="D57" s="120"/>
      <c r="E57" s="121">
        <v>0</v>
      </c>
      <c r="F57" s="125"/>
      <c r="G57" s="208">
        <v>0</v>
      </c>
      <c r="H57" s="80">
        <f>E57*G57</f>
        <v>0</v>
      </c>
      <c r="J57" s="40"/>
    </row>
    <row r="58" spans="3:11" x14ac:dyDescent="0.2">
      <c r="C58" s="19">
        <f>C57+1</f>
        <v>4</v>
      </c>
      <c r="D58" s="120"/>
      <c r="E58" s="121">
        <v>0</v>
      </c>
      <c r="F58" s="125"/>
      <c r="G58" s="208">
        <v>0</v>
      </c>
      <c r="H58" s="80">
        <f>E58*G58</f>
        <v>0</v>
      </c>
      <c r="J58" s="40"/>
    </row>
    <row r="59" spans="3:11" x14ac:dyDescent="0.25">
      <c r="C59" s="19">
        <f>C58+1</f>
        <v>5</v>
      </c>
      <c r="D59" s="120"/>
      <c r="E59" s="121">
        <v>0</v>
      </c>
      <c r="F59" s="125"/>
      <c r="G59" s="208">
        <v>0</v>
      </c>
      <c r="H59" s="80">
        <f>E59*G59</f>
        <v>0</v>
      </c>
    </row>
    <row r="60" spans="3:11" x14ac:dyDescent="0.25">
      <c r="C60" s="28" t="s">
        <v>16</v>
      </c>
      <c r="D60" s="29"/>
      <c r="E60" s="81"/>
      <c r="F60" s="82"/>
      <c r="G60" s="83"/>
      <c r="H60" s="84">
        <f>SUM(H55:H59)</f>
        <v>0</v>
      </c>
    </row>
    <row r="61" spans="3:11" ht="6" customHeight="1" x14ac:dyDescent="0.25">
      <c r="C61" s="45"/>
      <c r="G61" s="89"/>
      <c r="H61" s="90"/>
    </row>
    <row r="62" spans="3:11" x14ac:dyDescent="0.25">
      <c r="C62" s="48" t="s">
        <v>19</v>
      </c>
      <c r="D62" s="91"/>
      <c r="E62" s="189">
        <f>Market_Assumptions!E44</f>
        <v>0</v>
      </c>
      <c r="F62" s="92" t="str">
        <f>C73</f>
        <v>SF</v>
      </c>
      <c r="G62" s="93" t="e">
        <f>H62/E62</f>
        <v>#DIV/0!</v>
      </c>
      <c r="H62" s="94">
        <f>H51+H29+H60+H42+H14</f>
        <v>49985100</v>
      </c>
    </row>
    <row r="72" spans="3:3" x14ac:dyDescent="0.25">
      <c r="C72" s="74" t="s">
        <v>12</v>
      </c>
    </row>
    <row r="73" spans="3:3" x14ac:dyDescent="0.25">
      <c r="C73" s="75" t="s">
        <v>13</v>
      </c>
    </row>
    <row r="74" spans="3:3" x14ac:dyDescent="0.25">
      <c r="C74" s="76" t="s">
        <v>14</v>
      </c>
    </row>
    <row r="75" spans="3:3" x14ac:dyDescent="0.25">
      <c r="C75" s="77" t="s">
        <v>15</v>
      </c>
    </row>
  </sheetData>
  <mergeCells count="2">
    <mergeCell ref="C8:H8"/>
    <mergeCell ref="J47:K50"/>
  </mergeCells>
  <pageMargins left="0.38" right="0.38" top="0.5" bottom="0.5" header="0.3" footer="0.25"/>
  <pageSetup scale="86" orientation="portrait" r:id="rId1"/>
  <headerFooter>
    <oddFooter>&amp;L&amp;"Times New Roman,Regular"&amp;8&amp;A&amp;C&amp;"Times New Roman,Regular"&amp;8&amp;P of &amp;N&amp;R&amp;"Times New Roman,Regular"&amp;8&amp;D;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  <pageSetUpPr fitToPage="1"/>
  </sheetPr>
  <dimension ref="A2:AR89"/>
  <sheetViews>
    <sheetView zoomScale="130" zoomScaleNormal="130" zoomScaleSheetLayoutView="160" workbookViewId="0">
      <selection activeCell="K25" sqref="K25"/>
    </sheetView>
  </sheetViews>
  <sheetFormatPr defaultColWidth="8.85546875" defaultRowHeight="12.75" x14ac:dyDescent="0.25"/>
  <cols>
    <col min="1" max="1" width="6.5703125" style="2" customWidth="1"/>
    <col min="2" max="2" width="0.85546875" style="2" customWidth="1"/>
    <col min="3" max="3" width="9.5703125" style="2" customWidth="1"/>
    <col min="4" max="4" width="18.5703125" style="2" customWidth="1"/>
    <col min="5" max="6" width="8.7109375" style="2" customWidth="1"/>
    <col min="7" max="7" width="9.7109375" style="2" customWidth="1"/>
    <col min="8" max="9" width="12" style="2" bestFit="1" customWidth="1"/>
    <col min="10" max="11" width="10" style="2" customWidth="1"/>
    <col min="12" max="12" width="12.140625" style="2" customWidth="1"/>
    <col min="13" max="13" width="9.140625" style="2" customWidth="1"/>
    <col min="14" max="14" width="12.140625" style="2" customWidth="1"/>
    <col min="15" max="15" width="0.85546875" style="2" customWidth="1"/>
    <col min="16" max="16" width="18.42578125" style="2" bestFit="1" customWidth="1"/>
    <col min="17" max="17" width="11.5703125" style="2" customWidth="1"/>
    <col min="18" max="20" width="12.42578125" style="2" customWidth="1"/>
    <col min="21" max="21" width="11.140625" style="2" customWidth="1"/>
    <col min="22" max="23" width="11.140625" style="3" customWidth="1"/>
    <col min="24" max="35" width="8.7109375" style="3" customWidth="1"/>
    <col min="36" max="16384" width="8.85546875" style="2"/>
  </cols>
  <sheetData>
    <row r="2" spans="3:44" ht="15" x14ac:dyDescent="0.25">
      <c r="C2" s="1" t="s">
        <v>0</v>
      </c>
      <c r="D2" s="8" t="s">
        <v>1</v>
      </c>
    </row>
    <row r="3" spans="3:44" ht="15" x14ac:dyDescent="0.25">
      <c r="C3" s="1" t="s">
        <v>2</v>
      </c>
      <c r="D3" s="8" t="str">
        <f>Cover_Page!D4</f>
        <v>Enter Team Name Here</v>
      </c>
      <c r="P3" s="179" t="s">
        <v>155</v>
      </c>
    </row>
    <row r="4" spans="3:44" ht="15" x14ac:dyDescent="0.25">
      <c r="C4" s="1" t="s">
        <v>4</v>
      </c>
      <c r="D4" s="5">
        <f ca="1">TODAY()</f>
        <v>44608</v>
      </c>
      <c r="P4" s="2" t="s">
        <v>156</v>
      </c>
    </row>
    <row r="5" spans="3:44" ht="15" x14ac:dyDescent="0.25">
      <c r="C5" s="1" t="s">
        <v>5</v>
      </c>
      <c r="D5" s="177">
        <f>Cover_Page!D6</f>
        <v>0</v>
      </c>
      <c r="P5" s="2" t="s">
        <v>157</v>
      </c>
    </row>
    <row r="6" spans="3:44" ht="15" x14ac:dyDescent="0.25">
      <c r="C6" s="1" t="s">
        <v>6</v>
      </c>
      <c r="D6" s="178">
        <f>Cover_Page!D7</f>
        <v>225</v>
      </c>
      <c r="P6" s="2" t="s">
        <v>158</v>
      </c>
    </row>
    <row r="7" spans="3:44" x14ac:dyDescent="0.25">
      <c r="P7" s="2" t="s">
        <v>159</v>
      </c>
    </row>
    <row r="8" spans="3:44" x14ac:dyDescent="0.25">
      <c r="C8" s="359" t="s">
        <v>25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1"/>
    </row>
    <row r="9" spans="3:44" ht="6" customHeight="1" x14ac:dyDescent="0.25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36"/>
    </row>
    <row r="10" spans="3:44" x14ac:dyDescent="0.25">
      <c r="C10" s="11" t="s">
        <v>22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6"/>
      <c r="P10" s="364" t="s">
        <v>154</v>
      </c>
      <c r="Q10" s="364"/>
      <c r="R10" s="364"/>
      <c r="S10" s="364"/>
      <c r="T10" s="364"/>
    </row>
    <row r="11" spans="3:44" ht="25.5" x14ac:dyDescent="0.2">
      <c r="C11" s="12"/>
      <c r="D11" s="13" t="s">
        <v>24</v>
      </c>
      <c r="E11" s="13" t="s">
        <v>13</v>
      </c>
      <c r="F11" s="13" t="s">
        <v>28</v>
      </c>
      <c r="G11" s="13" t="s">
        <v>26</v>
      </c>
      <c r="H11" s="13" t="s">
        <v>27</v>
      </c>
      <c r="I11" s="14" t="s">
        <v>32</v>
      </c>
      <c r="J11" s="14" t="s">
        <v>40</v>
      </c>
      <c r="K11" s="13" t="s">
        <v>30</v>
      </c>
      <c r="L11" s="13" t="s">
        <v>31</v>
      </c>
      <c r="M11" s="59" t="s">
        <v>70</v>
      </c>
      <c r="N11" s="15" t="s">
        <v>71</v>
      </c>
      <c r="P11" s="363" t="s">
        <v>151</v>
      </c>
      <c r="Q11" s="363"/>
      <c r="R11" s="363"/>
      <c r="S11" s="363"/>
      <c r="T11" s="363"/>
      <c r="W11" s="276" t="s">
        <v>36</v>
      </c>
      <c r="X11" s="277">
        <v>1</v>
      </c>
      <c r="Y11" s="278">
        <v>2</v>
      </c>
      <c r="Z11" s="278">
        <v>3</v>
      </c>
      <c r="AA11" s="278">
        <v>4</v>
      </c>
      <c r="AB11" s="278">
        <v>5</v>
      </c>
      <c r="AC11" s="278">
        <v>6</v>
      </c>
      <c r="AD11" s="278">
        <v>7</v>
      </c>
      <c r="AE11" s="278">
        <v>8</v>
      </c>
      <c r="AF11" s="278">
        <v>9</v>
      </c>
      <c r="AG11" s="278">
        <v>10</v>
      </c>
      <c r="AH11" s="278">
        <v>11</v>
      </c>
      <c r="AI11" s="278">
        <v>12</v>
      </c>
      <c r="AJ11" s="278">
        <v>13</v>
      </c>
      <c r="AK11" s="278">
        <v>14</v>
      </c>
      <c r="AL11" s="278">
        <v>15</v>
      </c>
      <c r="AM11" s="278">
        <v>16</v>
      </c>
      <c r="AN11" s="278">
        <v>17</v>
      </c>
      <c r="AO11" s="278">
        <v>18</v>
      </c>
      <c r="AP11" s="278">
        <v>19</v>
      </c>
      <c r="AQ11" s="279">
        <v>20</v>
      </c>
      <c r="AR11" s="3"/>
    </row>
    <row r="12" spans="3:44" x14ac:dyDescent="0.25">
      <c r="C12" s="16">
        <v>1</v>
      </c>
      <c r="D12" s="163" t="s">
        <v>221</v>
      </c>
      <c r="E12" s="204">
        <v>0</v>
      </c>
      <c r="F12" s="211">
        <v>0</v>
      </c>
      <c r="G12" s="197">
        <v>0</v>
      </c>
      <c r="H12" s="17">
        <f>G12*E12</f>
        <v>0</v>
      </c>
      <c r="I12" s="219" t="s">
        <v>33</v>
      </c>
      <c r="J12" s="219" t="s">
        <v>41</v>
      </c>
      <c r="K12" s="197">
        <v>40</v>
      </c>
      <c r="L12" s="17">
        <f>K12*E12</f>
        <v>0</v>
      </c>
      <c r="M12" s="223">
        <v>0.06</v>
      </c>
      <c r="N12" s="18">
        <f>M12*W12</f>
        <v>0</v>
      </c>
      <c r="P12" s="168"/>
      <c r="Q12" s="169" t="s">
        <v>152</v>
      </c>
      <c r="R12" s="169" t="s">
        <v>142</v>
      </c>
      <c r="S12" s="169" t="s">
        <v>143</v>
      </c>
      <c r="T12" s="170" t="s">
        <v>144</v>
      </c>
      <c r="W12" s="272">
        <f>(SUM(X12:AB12))*E12</f>
        <v>0</v>
      </c>
      <c r="X12" s="281">
        <f>G12</f>
        <v>0</v>
      </c>
      <c r="Y12" s="282">
        <f>X12*1.02</f>
        <v>0</v>
      </c>
      <c r="Z12" s="282">
        <f t="shared" ref="Z12:AB12" si="0">Y12*1.02</f>
        <v>0</v>
      </c>
      <c r="AA12" s="282">
        <f t="shared" si="0"/>
        <v>0</v>
      </c>
      <c r="AB12" s="282">
        <f t="shared" si="0"/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3"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4">
        <v>0</v>
      </c>
      <c r="AR12" s="3"/>
    </row>
    <row r="13" spans="3:44" x14ac:dyDescent="0.25">
      <c r="C13" s="19">
        <f t="shared" ref="C13:C17" si="1">C12+1</f>
        <v>2</v>
      </c>
      <c r="D13" s="161" t="s">
        <v>228</v>
      </c>
      <c r="E13" s="203">
        <v>0</v>
      </c>
      <c r="F13" s="212">
        <v>0</v>
      </c>
      <c r="G13" s="207">
        <v>0</v>
      </c>
      <c r="H13" s="20">
        <f t="shared" ref="H13:H17" si="2">G13*E13</f>
        <v>0</v>
      </c>
      <c r="I13" s="220" t="s">
        <v>33</v>
      </c>
      <c r="J13" s="220" t="s">
        <v>41</v>
      </c>
      <c r="K13" s="207">
        <v>40</v>
      </c>
      <c r="L13" s="20">
        <f t="shared" ref="L13:L17" si="3">K13*E13</f>
        <v>0</v>
      </c>
      <c r="M13" s="176">
        <f>M12</f>
        <v>0.06</v>
      </c>
      <c r="N13" s="21">
        <f t="shared" ref="N13:N17" si="4">M13*W13</f>
        <v>0</v>
      </c>
      <c r="P13" s="45" t="s">
        <v>22</v>
      </c>
      <c r="Q13" s="2" t="s">
        <v>41</v>
      </c>
      <c r="R13" s="2" t="s">
        <v>145</v>
      </c>
      <c r="S13" s="2" t="s">
        <v>146</v>
      </c>
      <c r="T13" s="47" t="s">
        <v>147</v>
      </c>
      <c r="W13" s="272">
        <f>(SUM(X13:AB13))*E13</f>
        <v>0</v>
      </c>
      <c r="X13" s="286">
        <f>G13</f>
        <v>0</v>
      </c>
      <c r="Y13" s="287">
        <f>X13*1.02</f>
        <v>0</v>
      </c>
      <c r="Z13" s="287">
        <f t="shared" ref="Z13:AB13" si="5">Y13*1.02</f>
        <v>0</v>
      </c>
      <c r="AA13" s="287">
        <f t="shared" si="5"/>
        <v>0</v>
      </c>
      <c r="AB13" s="287">
        <f t="shared" si="5"/>
        <v>0</v>
      </c>
      <c r="AC13" s="287">
        <v>0</v>
      </c>
      <c r="AD13" s="287">
        <v>0</v>
      </c>
      <c r="AE13" s="287">
        <v>0</v>
      </c>
      <c r="AF13" s="287">
        <v>0</v>
      </c>
      <c r="AG13" s="287">
        <v>0</v>
      </c>
      <c r="AH13" s="287">
        <v>0</v>
      </c>
      <c r="AI13" s="287">
        <v>0</v>
      </c>
      <c r="AJ13" s="288">
        <v>0</v>
      </c>
      <c r="AK13" s="288">
        <v>0</v>
      </c>
      <c r="AL13" s="288">
        <v>0</v>
      </c>
      <c r="AM13" s="288">
        <v>0</v>
      </c>
      <c r="AN13" s="288">
        <v>0</v>
      </c>
      <c r="AO13" s="288">
        <v>0</v>
      </c>
      <c r="AP13" s="288">
        <v>0</v>
      </c>
      <c r="AQ13" s="289">
        <v>0</v>
      </c>
      <c r="AR13" s="3"/>
    </row>
    <row r="14" spans="3:44" x14ac:dyDescent="0.25">
      <c r="C14" s="19">
        <f t="shared" si="1"/>
        <v>3</v>
      </c>
      <c r="D14" s="161" t="s">
        <v>231</v>
      </c>
      <c r="E14" s="203">
        <v>0</v>
      </c>
      <c r="F14" s="212">
        <v>0</v>
      </c>
      <c r="G14" s="207">
        <v>0</v>
      </c>
      <c r="H14" s="20">
        <f t="shared" si="2"/>
        <v>0</v>
      </c>
      <c r="I14" s="220" t="s">
        <v>33</v>
      </c>
      <c r="J14" s="220" t="s">
        <v>41</v>
      </c>
      <c r="K14" s="207">
        <v>40</v>
      </c>
      <c r="L14" s="20">
        <f t="shared" si="3"/>
        <v>0</v>
      </c>
      <c r="M14" s="176">
        <f t="shared" ref="M14:M17" si="6">M13</f>
        <v>0.06</v>
      </c>
      <c r="N14" s="21">
        <f t="shared" si="4"/>
        <v>0</v>
      </c>
      <c r="P14" s="45" t="s">
        <v>23</v>
      </c>
      <c r="Q14" s="173" t="s">
        <v>43</v>
      </c>
      <c r="R14" s="2" t="s">
        <v>148</v>
      </c>
      <c r="S14" s="2" t="s">
        <v>149</v>
      </c>
      <c r="T14" s="47" t="s">
        <v>150</v>
      </c>
      <c r="W14" s="272">
        <f t="shared" ref="W14" si="7">(SUM(X14:AB14))*E14</f>
        <v>0</v>
      </c>
      <c r="X14" s="286">
        <f>G14</f>
        <v>0</v>
      </c>
      <c r="Y14" s="287">
        <f>X14*1.02</f>
        <v>0</v>
      </c>
      <c r="Z14" s="287">
        <f t="shared" ref="Z14:AB14" si="8">Y14*1.02</f>
        <v>0</v>
      </c>
      <c r="AA14" s="287">
        <f t="shared" si="8"/>
        <v>0</v>
      </c>
      <c r="AB14" s="287">
        <f t="shared" si="8"/>
        <v>0</v>
      </c>
      <c r="AC14" s="287">
        <v>0</v>
      </c>
      <c r="AD14" s="287">
        <v>0</v>
      </c>
      <c r="AE14" s="287">
        <v>0</v>
      </c>
      <c r="AF14" s="287">
        <v>0</v>
      </c>
      <c r="AG14" s="287">
        <v>0</v>
      </c>
      <c r="AH14" s="287">
        <v>0</v>
      </c>
      <c r="AI14" s="287">
        <v>0</v>
      </c>
      <c r="AJ14" s="288">
        <v>0</v>
      </c>
      <c r="AK14" s="288">
        <v>0</v>
      </c>
      <c r="AL14" s="288">
        <v>0</v>
      </c>
      <c r="AM14" s="288">
        <v>0</v>
      </c>
      <c r="AN14" s="288">
        <v>0</v>
      </c>
      <c r="AO14" s="288">
        <v>0</v>
      </c>
      <c r="AP14" s="288">
        <v>0</v>
      </c>
      <c r="AQ14" s="289">
        <v>0</v>
      </c>
      <c r="AR14" s="3"/>
    </row>
    <row r="15" spans="3:44" x14ac:dyDescent="0.25">
      <c r="C15" s="19">
        <f t="shared" si="1"/>
        <v>4</v>
      </c>
      <c r="D15" s="161"/>
      <c r="E15" s="203">
        <v>0</v>
      </c>
      <c r="F15" s="212"/>
      <c r="G15" s="207">
        <v>0</v>
      </c>
      <c r="H15" s="20">
        <f t="shared" si="2"/>
        <v>0</v>
      </c>
      <c r="I15" s="220"/>
      <c r="J15" s="220"/>
      <c r="K15" s="207">
        <v>0</v>
      </c>
      <c r="L15" s="20">
        <f t="shared" si="3"/>
        <v>0</v>
      </c>
      <c r="M15" s="176">
        <f t="shared" si="6"/>
        <v>0.06</v>
      </c>
      <c r="N15" s="21">
        <f t="shared" si="4"/>
        <v>0</v>
      </c>
      <c r="P15" s="45" t="s">
        <v>250</v>
      </c>
      <c r="Q15" s="173" t="s">
        <v>41</v>
      </c>
      <c r="R15" s="274" t="s">
        <v>251</v>
      </c>
      <c r="S15" s="274" t="s">
        <v>227</v>
      </c>
      <c r="T15" s="47" t="s">
        <v>227</v>
      </c>
      <c r="W15" s="280">
        <v>0</v>
      </c>
      <c r="X15" s="286">
        <v>0</v>
      </c>
      <c r="Y15" s="287">
        <v>0</v>
      </c>
      <c r="Z15" s="287">
        <v>0</v>
      </c>
      <c r="AA15" s="287">
        <v>0</v>
      </c>
      <c r="AB15" s="287">
        <v>0</v>
      </c>
      <c r="AC15" s="287">
        <v>0</v>
      </c>
      <c r="AD15" s="287">
        <v>0</v>
      </c>
      <c r="AE15" s="287">
        <v>0</v>
      </c>
      <c r="AF15" s="287">
        <v>0</v>
      </c>
      <c r="AG15" s="287">
        <v>0</v>
      </c>
      <c r="AH15" s="287">
        <v>0</v>
      </c>
      <c r="AI15" s="287">
        <v>0</v>
      </c>
      <c r="AJ15" s="288">
        <v>0</v>
      </c>
      <c r="AK15" s="288">
        <v>0</v>
      </c>
      <c r="AL15" s="288">
        <v>0</v>
      </c>
      <c r="AM15" s="288">
        <v>0</v>
      </c>
      <c r="AN15" s="288">
        <v>0</v>
      </c>
      <c r="AO15" s="288">
        <v>0</v>
      </c>
      <c r="AP15" s="288">
        <v>0</v>
      </c>
      <c r="AQ15" s="289">
        <v>0</v>
      </c>
      <c r="AR15" s="3"/>
    </row>
    <row r="16" spans="3:44" x14ac:dyDescent="0.25">
      <c r="C16" s="19">
        <f t="shared" si="1"/>
        <v>5</v>
      </c>
      <c r="D16" s="161"/>
      <c r="E16" s="213">
        <v>0</v>
      </c>
      <c r="F16" s="214"/>
      <c r="G16" s="215">
        <v>0</v>
      </c>
      <c r="H16" s="22">
        <f t="shared" si="2"/>
        <v>0</v>
      </c>
      <c r="I16" s="221"/>
      <c r="J16" s="221"/>
      <c r="K16" s="215">
        <v>0</v>
      </c>
      <c r="L16" s="22">
        <f t="shared" si="3"/>
        <v>0</v>
      </c>
      <c r="M16" s="176">
        <f t="shared" si="6"/>
        <v>0.06</v>
      </c>
      <c r="N16" s="23">
        <f t="shared" si="4"/>
        <v>0</v>
      </c>
      <c r="P16" s="45" t="s">
        <v>222</v>
      </c>
      <c r="Q16" s="2" t="s">
        <v>225</v>
      </c>
      <c r="R16" s="2" t="s">
        <v>226</v>
      </c>
      <c r="S16" s="2" t="s">
        <v>227</v>
      </c>
      <c r="T16" s="47" t="s">
        <v>227</v>
      </c>
      <c r="W16" s="280">
        <v>0</v>
      </c>
      <c r="X16" s="286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287">
        <v>0</v>
      </c>
      <c r="AE16" s="287">
        <v>0</v>
      </c>
      <c r="AF16" s="287">
        <v>0</v>
      </c>
      <c r="AG16" s="287">
        <v>0</v>
      </c>
      <c r="AH16" s="287">
        <v>0</v>
      </c>
      <c r="AI16" s="287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0</v>
      </c>
      <c r="AO16" s="288">
        <v>0</v>
      </c>
      <c r="AP16" s="288">
        <v>0</v>
      </c>
      <c r="AQ16" s="289">
        <v>0</v>
      </c>
      <c r="AR16" s="3"/>
    </row>
    <row r="17" spans="1:44" x14ac:dyDescent="0.25">
      <c r="C17" s="24">
        <f t="shared" si="1"/>
        <v>6</v>
      </c>
      <c r="D17" s="174"/>
      <c r="E17" s="216">
        <v>0</v>
      </c>
      <c r="F17" s="217"/>
      <c r="G17" s="218">
        <v>0</v>
      </c>
      <c r="H17" s="25">
        <f t="shared" si="2"/>
        <v>0</v>
      </c>
      <c r="I17" s="222"/>
      <c r="J17" s="222"/>
      <c r="K17" s="218">
        <v>0</v>
      </c>
      <c r="L17" s="25">
        <f t="shared" si="3"/>
        <v>0</v>
      </c>
      <c r="M17" s="176">
        <f t="shared" si="6"/>
        <v>0.06</v>
      </c>
      <c r="N17" s="26">
        <f t="shared" si="4"/>
        <v>0</v>
      </c>
      <c r="P17" s="171" t="s">
        <v>212</v>
      </c>
      <c r="Q17" s="172" t="s">
        <v>216</v>
      </c>
      <c r="R17" s="172" t="s">
        <v>219</v>
      </c>
      <c r="S17" s="172" t="s">
        <v>218</v>
      </c>
      <c r="T17" s="254" t="s">
        <v>217</v>
      </c>
      <c r="W17" s="290">
        <v>0</v>
      </c>
      <c r="X17" s="291">
        <v>0</v>
      </c>
      <c r="Y17" s="292"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4">
        <v>0</v>
      </c>
      <c r="AR17" s="3"/>
    </row>
    <row r="18" spans="1:44" ht="15" x14ac:dyDescent="0.25">
      <c r="A18" s="27"/>
      <c r="C18" s="58" t="s">
        <v>16</v>
      </c>
      <c r="D18" s="29"/>
      <c r="E18" s="30">
        <f>SUM(E12:E17)</f>
        <v>0</v>
      </c>
      <c r="F18" s="31"/>
      <c r="G18" s="32"/>
      <c r="H18" s="33">
        <f>SUM(H12:H17)</f>
        <v>0</v>
      </c>
      <c r="I18" s="33"/>
      <c r="J18" s="33"/>
      <c r="K18" s="33"/>
      <c r="L18" s="33">
        <f>SUM(L12:L17)</f>
        <v>0</v>
      </c>
      <c r="M18" s="34"/>
      <c r="N18" s="35">
        <f>SUM(N12:N17)</f>
        <v>0</v>
      </c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</row>
    <row r="19" spans="1:44" ht="6" customHeight="1" x14ac:dyDescent="0.25"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6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</row>
    <row r="20" spans="1:44" ht="15" x14ac:dyDescent="0.25">
      <c r="C20" s="11" t="s">
        <v>247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6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</row>
    <row r="21" spans="1:44" s="37" customFormat="1" ht="25.5" x14ac:dyDescent="0.25">
      <c r="C21" s="38" t="s">
        <v>17</v>
      </c>
      <c r="D21" s="14" t="str">
        <f t="shared" ref="D21:N21" si="9">D11</f>
        <v>DESCRIPTION</v>
      </c>
      <c r="E21" s="14" t="str">
        <f t="shared" si="9"/>
        <v>SF</v>
      </c>
      <c r="F21" s="14" t="str">
        <f t="shared" si="9"/>
        <v>TERM</v>
      </c>
      <c r="G21" s="14" t="str">
        <f t="shared" si="9"/>
        <v>RENT PSF</v>
      </c>
      <c r="H21" s="14" t="str">
        <f t="shared" si="9"/>
        <v>YR 1 RENT</v>
      </c>
      <c r="I21" s="14" t="str">
        <f t="shared" si="9"/>
        <v>RENT GROWTH</v>
      </c>
      <c r="J21" s="14" t="str">
        <f t="shared" si="9"/>
        <v>TYPE OF LEASE</v>
      </c>
      <c r="K21" s="14" t="str">
        <f t="shared" si="9"/>
        <v>TI PSF</v>
      </c>
      <c r="L21" s="14" t="str">
        <f t="shared" si="9"/>
        <v>TOTAL TI</v>
      </c>
      <c r="M21" s="14" t="str">
        <f t="shared" si="9"/>
        <v>LEASING COMM.</v>
      </c>
      <c r="N21" s="15" t="str">
        <f t="shared" si="9"/>
        <v>TOTAL COMM.</v>
      </c>
      <c r="P21" s="2"/>
      <c r="Q21" s="2"/>
      <c r="R21" s="2"/>
      <c r="S21" s="2"/>
      <c r="T21" s="2"/>
      <c r="V21" s="39"/>
      <c r="W21" s="276" t="s">
        <v>36</v>
      </c>
      <c r="X21" s="277">
        <v>1</v>
      </c>
      <c r="Y21" s="278">
        <v>2</v>
      </c>
      <c r="Z21" s="278">
        <v>3</v>
      </c>
      <c r="AA21" s="278">
        <v>4</v>
      </c>
      <c r="AB21" s="278">
        <v>5</v>
      </c>
      <c r="AC21" s="278">
        <v>6</v>
      </c>
      <c r="AD21" s="278">
        <v>7</v>
      </c>
      <c r="AE21" s="278">
        <v>8</v>
      </c>
      <c r="AF21" s="278">
        <v>9</v>
      </c>
      <c r="AG21" s="278">
        <v>10</v>
      </c>
      <c r="AH21" s="278">
        <v>11</v>
      </c>
      <c r="AI21" s="278">
        <v>12</v>
      </c>
      <c r="AJ21" s="278">
        <v>13</v>
      </c>
      <c r="AK21" s="278">
        <v>14</v>
      </c>
      <c r="AL21" s="278">
        <v>15</v>
      </c>
      <c r="AM21" s="278">
        <v>16</v>
      </c>
      <c r="AN21" s="278">
        <v>17</v>
      </c>
      <c r="AO21" s="278">
        <v>18</v>
      </c>
      <c r="AP21" s="278">
        <v>19</v>
      </c>
      <c r="AQ21" s="279">
        <v>20</v>
      </c>
      <c r="AR21" s="39"/>
    </row>
    <row r="22" spans="1:44" x14ac:dyDescent="0.25">
      <c r="C22" s="16">
        <v>1</v>
      </c>
      <c r="D22" s="163" t="s">
        <v>246</v>
      </c>
      <c r="E22" s="204">
        <v>0</v>
      </c>
      <c r="F22" s="211">
        <v>10</v>
      </c>
      <c r="G22" s="197">
        <v>0</v>
      </c>
      <c r="H22" s="17">
        <f>G22*E22</f>
        <v>0</v>
      </c>
      <c r="I22" s="219" t="s">
        <v>33</v>
      </c>
      <c r="J22" s="219" t="s">
        <v>41</v>
      </c>
      <c r="K22" s="197">
        <v>40</v>
      </c>
      <c r="L22" s="17">
        <f>K22*E22</f>
        <v>0</v>
      </c>
      <c r="M22" s="223">
        <v>0.06</v>
      </c>
      <c r="N22" s="18">
        <f>M22*W22</f>
        <v>0</v>
      </c>
      <c r="P22" s="37"/>
      <c r="Q22" s="37"/>
      <c r="R22" s="37"/>
      <c r="S22" s="37"/>
      <c r="T22" s="37"/>
      <c r="W22" s="280">
        <f>(SUM(X22:AG22)*E22)</f>
        <v>0</v>
      </c>
      <c r="X22" s="281">
        <f>G22</f>
        <v>0</v>
      </c>
      <c r="Y22" s="282">
        <f>X22</f>
        <v>0</v>
      </c>
      <c r="Z22" s="282">
        <f t="shared" ref="Z22:AB22" si="10">Y22</f>
        <v>0</v>
      </c>
      <c r="AA22" s="282">
        <f t="shared" si="10"/>
        <v>0</v>
      </c>
      <c r="AB22" s="282">
        <f t="shared" si="10"/>
        <v>0</v>
      </c>
      <c r="AC22" s="282">
        <f>AB22*1.1</f>
        <v>0</v>
      </c>
      <c r="AD22" s="282">
        <f>AC22</f>
        <v>0</v>
      </c>
      <c r="AE22" s="282">
        <f t="shared" ref="AE22:AG22" si="11">AD22</f>
        <v>0</v>
      </c>
      <c r="AF22" s="282">
        <f t="shared" si="11"/>
        <v>0</v>
      </c>
      <c r="AG22" s="282">
        <f t="shared" si="11"/>
        <v>0</v>
      </c>
      <c r="AH22" s="282">
        <v>0</v>
      </c>
      <c r="AI22" s="282">
        <v>0</v>
      </c>
      <c r="AJ22" s="283"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4">
        <v>0</v>
      </c>
      <c r="AR22" s="3"/>
    </row>
    <row r="23" spans="1:44" x14ac:dyDescent="0.2">
      <c r="C23" s="19">
        <f t="shared" ref="C23:C27" si="12">C22+1</f>
        <v>2</v>
      </c>
      <c r="D23" s="161" t="s">
        <v>248</v>
      </c>
      <c r="E23" s="203"/>
      <c r="F23" s="212">
        <v>10</v>
      </c>
      <c r="G23" s="207">
        <v>0</v>
      </c>
      <c r="H23" s="20">
        <f t="shared" ref="H23:H27" si="13">G23*E23</f>
        <v>0</v>
      </c>
      <c r="I23" s="220" t="s">
        <v>33</v>
      </c>
      <c r="J23" s="220" t="s">
        <v>41</v>
      </c>
      <c r="K23" s="207">
        <v>10</v>
      </c>
      <c r="L23" s="20">
        <f t="shared" ref="L23:L27" si="14">K23*E23</f>
        <v>0</v>
      </c>
      <c r="M23" s="176">
        <f>M22</f>
        <v>0.06</v>
      </c>
      <c r="N23" s="21">
        <f t="shared" ref="N23:N27" si="15">M23*W23</f>
        <v>0</v>
      </c>
      <c r="V23" s="40"/>
      <c r="W23" s="280">
        <f>(SUM(X23:AG23)*E23)</f>
        <v>0</v>
      </c>
      <c r="X23" s="286">
        <f>G23</f>
        <v>0</v>
      </c>
      <c r="Y23" s="287">
        <f>X23</f>
        <v>0</v>
      </c>
      <c r="Z23" s="287">
        <f t="shared" ref="Z23:AB23" si="16">Y23</f>
        <v>0</v>
      </c>
      <c r="AA23" s="287">
        <f t="shared" si="16"/>
        <v>0</v>
      </c>
      <c r="AB23" s="287">
        <f t="shared" si="16"/>
        <v>0</v>
      </c>
      <c r="AC23" s="287">
        <f>AB23*1.1</f>
        <v>0</v>
      </c>
      <c r="AD23" s="287">
        <f>AC23</f>
        <v>0</v>
      </c>
      <c r="AE23" s="287">
        <f t="shared" ref="AE23:AG23" si="17">AD23</f>
        <v>0</v>
      </c>
      <c r="AF23" s="287">
        <f t="shared" si="17"/>
        <v>0</v>
      </c>
      <c r="AG23" s="287">
        <f t="shared" si="17"/>
        <v>0</v>
      </c>
      <c r="AH23" s="287">
        <v>0</v>
      </c>
      <c r="AI23" s="287">
        <v>0</v>
      </c>
      <c r="AJ23" s="288">
        <v>0</v>
      </c>
      <c r="AK23" s="288">
        <v>0</v>
      </c>
      <c r="AL23" s="288">
        <v>0</v>
      </c>
      <c r="AM23" s="288">
        <v>0</v>
      </c>
      <c r="AN23" s="288">
        <v>0</v>
      </c>
      <c r="AO23" s="288">
        <v>0</v>
      </c>
      <c r="AP23" s="288">
        <v>0</v>
      </c>
      <c r="AQ23" s="289">
        <v>0</v>
      </c>
      <c r="AR23" s="40"/>
    </row>
    <row r="24" spans="1:44" x14ac:dyDescent="0.25">
      <c r="C24" s="19">
        <f t="shared" si="12"/>
        <v>3</v>
      </c>
      <c r="D24" s="161" t="s">
        <v>249</v>
      </c>
      <c r="E24" s="203">
        <v>0</v>
      </c>
      <c r="F24" s="212">
        <v>10</v>
      </c>
      <c r="G24" s="207">
        <v>0</v>
      </c>
      <c r="H24" s="20">
        <f t="shared" si="13"/>
        <v>0</v>
      </c>
      <c r="I24" s="220" t="s">
        <v>33</v>
      </c>
      <c r="J24" s="220" t="s">
        <v>41</v>
      </c>
      <c r="K24" s="207">
        <v>10</v>
      </c>
      <c r="L24" s="20">
        <f t="shared" si="14"/>
        <v>0</v>
      </c>
      <c r="M24" s="176">
        <f t="shared" ref="M24:M27" si="18">M23</f>
        <v>0.06</v>
      </c>
      <c r="N24" s="21">
        <f t="shared" si="15"/>
        <v>0</v>
      </c>
      <c r="W24" s="280">
        <v>0</v>
      </c>
      <c r="X24" s="286">
        <v>0</v>
      </c>
      <c r="Y24" s="287">
        <v>0</v>
      </c>
      <c r="Z24" s="287">
        <v>0</v>
      </c>
      <c r="AA24" s="287">
        <v>0</v>
      </c>
      <c r="AB24" s="287">
        <v>0</v>
      </c>
      <c r="AC24" s="287">
        <v>0</v>
      </c>
      <c r="AD24" s="287">
        <v>0</v>
      </c>
      <c r="AE24" s="287">
        <v>0</v>
      </c>
      <c r="AF24" s="287">
        <v>0</v>
      </c>
      <c r="AG24" s="287">
        <v>0</v>
      </c>
      <c r="AH24" s="287">
        <v>0</v>
      </c>
      <c r="AI24" s="287">
        <v>0</v>
      </c>
      <c r="AJ24" s="288">
        <v>0</v>
      </c>
      <c r="AK24" s="288">
        <v>0</v>
      </c>
      <c r="AL24" s="288">
        <v>0</v>
      </c>
      <c r="AM24" s="288">
        <v>0</v>
      </c>
      <c r="AN24" s="288">
        <v>0</v>
      </c>
      <c r="AO24" s="288">
        <v>0</v>
      </c>
      <c r="AP24" s="288">
        <v>0</v>
      </c>
      <c r="AQ24" s="289">
        <v>0</v>
      </c>
      <c r="AR24" s="3"/>
    </row>
    <row r="25" spans="1:44" x14ac:dyDescent="0.25">
      <c r="C25" s="19">
        <f t="shared" si="12"/>
        <v>4</v>
      </c>
      <c r="D25" s="161"/>
      <c r="E25" s="203">
        <v>0</v>
      </c>
      <c r="F25" s="212"/>
      <c r="G25" s="207">
        <v>0</v>
      </c>
      <c r="H25" s="20">
        <f t="shared" si="13"/>
        <v>0</v>
      </c>
      <c r="I25" s="220"/>
      <c r="J25" s="220"/>
      <c r="K25" s="207">
        <v>0</v>
      </c>
      <c r="L25" s="20">
        <f t="shared" si="14"/>
        <v>0</v>
      </c>
      <c r="M25" s="176">
        <f t="shared" si="18"/>
        <v>0.06</v>
      </c>
      <c r="N25" s="21">
        <f t="shared" si="15"/>
        <v>0</v>
      </c>
      <c r="W25" s="280">
        <v>0</v>
      </c>
      <c r="X25" s="286">
        <v>0</v>
      </c>
      <c r="Y25" s="287">
        <v>0</v>
      </c>
      <c r="Z25" s="287">
        <v>0</v>
      </c>
      <c r="AA25" s="287">
        <v>0</v>
      </c>
      <c r="AB25" s="287">
        <v>0</v>
      </c>
      <c r="AC25" s="287">
        <v>0</v>
      </c>
      <c r="AD25" s="287">
        <v>0</v>
      </c>
      <c r="AE25" s="287">
        <v>0</v>
      </c>
      <c r="AF25" s="287">
        <v>0</v>
      </c>
      <c r="AG25" s="287">
        <v>0</v>
      </c>
      <c r="AH25" s="287">
        <v>0</v>
      </c>
      <c r="AI25" s="287">
        <v>0</v>
      </c>
      <c r="AJ25" s="288">
        <v>0</v>
      </c>
      <c r="AK25" s="288">
        <v>0</v>
      </c>
      <c r="AL25" s="288">
        <v>0</v>
      </c>
      <c r="AM25" s="288">
        <v>0</v>
      </c>
      <c r="AN25" s="288">
        <v>0</v>
      </c>
      <c r="AO25" s="288">
        <v>0</v>
      </c>
      <c r="AP25" s="288">
        <v>0</v>
      </c>
      <c r="AQ25" s="289">
        <v>0</v>
      </c>
      <c r="AR25" s="3"/>
    </row>
    <row r="26" spans="1:44" x14ac:dyDescent="0.25">
      <c r="C26" s="19">
        <f t="shared" si="12"/>
        <v>5</v>
      </c>
      <c r="D26" s="161"/>
      <c r="E26" s="213">
        <v>0</v>
      </c>
      <c r="F26" s="214"/>
      <c r="G26" s="215">
        <v>0</v>
      </c>
      <c r="H26" s="22">
        <f t="shared" si="13"/>
        <v>0</v>
      </c>
      <c r="I26" s="221"/>
      <c r="J26" s="221"/>
      <c r="K26" s="215">
        <v>0</v>
      </c>
      <c r="L26" s="22">
        <f t="shared" si="14"/>
        <v>0</v>
      </c>
      <c r="M26" s="176">
        <f t="shared" si="18"/>
        <v>0.06</v>
      </c>
      <c r="N26" s="23">
        <f t="shared" si="15"/>
        <v>0</v>
      </c>
      <c r="W26" s="280">
        <v>0</v>
      </c>
      <c r="X26" s="286">
        <v>0</v>
      </c>
      <c r="Y26" s="287">
        <v>0</v>
      </c>
      <c r="Z26" s="287">
        <v>0</v>
      </c>
      <c r="AA26" s="287">
        <v>0</v>
      </c>
      <c r="AB26" s="287">
        <v>0</v>
      </c>
      <c r="AC26" s="287">
        <v>0</v>
      </c>
      <c r="AD26" s="287">
        <v>0</v>
      </c>
      <c r="AE26" s="287">
        <v>0</v>
      </c>
      <c r="AF26" s="287">
        <v>0</v>
      </c>
      <c r="AG26" s="287">
        <v>0</v>
      </c>
      <c r="AH26" s="287">
        <v>0</v>
      </c>
      <c r="AI26" s="287">
        <v>0</v>
      </c>
      <c r="AJ26" s="288">
        <v>0</v>
      </c>
      <c r="AK26" s="288">
        <v>0</v>
      </c>
      <c r="AL26" s="288">
        <v>0</v>
      </c>
      <c r="AM26" s="288">
        <v>0</v>
      </c>
      <c r="AN26" s="288">
        <v>0</v>
      </c>
      <c r="AO26" s="288">
        <v>0</v>
      </c>
      <c r="AP26" s="288">
        <v>0</v>
      </c>
      <c r="AQ26" s="289">
        <v>0</v>
      </c>
      <c r="AR26" s="3"/>
    </row>
    <row r="27" spans="1:44" x14ac:dyDescent="0.25">
      <c r="C27" s="19">
        <f t="shared" si="12"/>
        <v>6</v>
      </c>
      <c r="D27" s="161"/>
      <c r="E27" s="213">
        <v>0</v>
      </c>
      <c r="F27" s="214"/>
      <c r="G27" s="215">
        <v>0</v>
      </c>
      <c r="H27" s="22">
        <f t="shared" si="13"/>
        <v>0</v>
      </c>
      <c r="I27" s="221"/>
      <c r="J27" s="221"/>
      <c r="K27" s="215">
        <v>0</v>
      </c>
      <c r="L27" s="22">
        <f t="shared" si="14"/>
        <v>0</v>
      </c>
      <c r="M27" s="176">
        <f t="shared" si="18"/>
        <v>0.06</v>
      </c>
      <c r="N27" s="26">
        <f t="shared" si="15"/>
        <v>0</v>
      </c>
      <c r="W27" s="290">
        <v>0</v>
      </c>
      <c r="X27" s="291">
        <v>0</v>
      </c>
      <c r="Y27" s="292"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293">
        <v>0</v>
      </c>
      <c r="AP27" s="293">
        <v>0</v>
      </c>
      <c r="AQ27" s="294">
        <v>0</v>
      </c>
      <c r="AR27" s="3"/>
    </row>
    <row r="28" spans="1:44" x14ac:dyDescent="0.25">
      <c r="A28" s="27"/>
      <c r="C28" s="58" t="s">
        <v>16</v>
      </c>
      <c r="D28" s="29"/>
      <c r="E28" s="30">
        <f>SUM(E22:E27)</f>
        <v>0</v>
      </c>
      <c r="F28" s="31"/>
      <c r="G28" s="32"/>
      <c r="H28" s="33">
        <f>SUM(H22:H27)</f>
        <v>0</v>
      </c>
      <c r="I28" s="41"/>
      <c r="J28" s="41"/>
      <c r="K28" s="41"/>
      <c r="L28" s="33">
        <f>SUM(L22:L27)</f>
        <v>0</v>
      </c>
      <c r="M28" s="41"/>
      <c r="N28" s="35">
        <f>SUM(N22:N27)</f>
        <v>0</v>
      </c>
    </row>
    <row r="29" spans="1:44" ht="6" customHeight="1" x14ac:dyDescent="0.25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6"/>
    </row>
    <row r="30" spans="1:44" x14ac:dyDescent="0.25">
      <c r="C30" s="11" t="s">
        <v>222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6"/>
    </row>
    <row r="31" spans="1:44" s="37" customFormat="1" x14ac:dyDescent="0.25">
      <c r="C31" s="38" t="s">
        <v>17</v>
      </c>
      <c r="D31" s="14" t="str">
        <f t="shared" ref="D31:G31" si="19">D21</f>
        <v>DESCRIPTION</v>
      </c>
      <c r="E31" s="14" t="str">
        <f t="shared" si="19"/>
        <v>SF</v>
      </c>
      <c r="F31" s="14" t="s">
        <v>153</v>
      </c>
      <c r="G31" s="14" t="str">
        <f t="shared" si="19"/>
        <v>RENT PSF</v>
      </c>
      <c r="H31" s="14" t="s">
        <v>223</v>
      </c>
      <c r="I31" s="15" t="s">
        <v>27</v>
      </c>
      <c r="N31" s="36"/>
      <c r="P31" s="2"/>
      <c r="Q31" s="2"/>
      <c r="R31" s="2"/>
      <c r="S31" s="2"/>
      <c r="T31" s="2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44" x14ac:dyDescent="0.25">
      <c r="C32" s="16">
        <v>1</v>
      </c>
      <c r="D32" s="163" t="s">
        <v>229</v>
      </c>
      <c r="E32" s="326">
        <f>F32*G32</f>
        <v>0</v>
      </c>
      <c r="F32" s="265">
        <v>0</v>
      </c>
      <c r="G32" s="224">
        <v>0</v>
      </c>
      <c r="H32" s="327">
        <v>0</v>
      </c>
      <c r="I32" s="267">
        <f>E32*H32*12</f>
        <v>0</v>
      </c>
      <c r="N32" s="36"/>
      <c r="P32" s="39"/>
      <c r="Q32" s="39"/>
      <c r="R32" s="39"/>
      <c r="S32" s="39"/>
      <c r="T32" s="39"/>
      <c r="U32" s="3"/>
      <c r="AJ32" s="3"/>
      <c r="AK32" s="3"/>
      <c r="AL32" s="3"/>
    </row>
    <row r="33" spans="1:38" x14ac:dyDescent="0.2">
      <c r="C33" s="19">
        <f t="shared" ref="C33:C35" si="20">C32+1</f>
        <v>2</v>
      </c>
      <c r="D33" s="161" t="s">
        <v>230</v>
      </c>
      <c r="E33" s="300">
        <f>F33*G33</f>
        <v>0</v>
      </c>
      <c r="F33" s="266">
        <v>0</v>
      </c>
      <c r="G33" s="225">
        <v>0</v>
      </c>
      <c r="H33" s="328">
        <v>0</v>
      </c>
      <c r="I33" s="43">
        <f t="shared" ref="I33:I35" si="21">E33*H33*12</f>
        <v>0</v>
      </c>
      <c r="N33" s="36"/>
      <c r="P33" s="3"/>
      <c r="Q33" s="3"/>
      <c r="R33" s="3"/>
      <c r="S33" s="3"/>
      <c r="T33" s="3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">
      <c r="C34" s="19">
        <f t="shared" si="20"/>
        <v>3</v>
      </c>
      <c r="D34" s="161"/>
      <c r="E34" s="300">
        <v>0</v>
      </c>
      <c r="F34" s="266">
        <v>0</v>
      </c>
      <c r="G34" s="225">
        <v>0</v>
      </c>
      <c r="H34" s="328">
        <v>0</v>
      </c>
      <c r="I34" s="268">
        <f t="shared" si="21"/>
        <v>0</v>
      </c>
      <c r="N34" s="36"/>
      <c r="P34" s="40"/>
      <c r="Q34" s="40"/>
      <c r="R34" s="40"/>
      <c r="S34" s="40"/>
      <c r="T34" s="40"/>
      <c r="U34" s="3"/>
      <c r="AJ34" s="3"/>
      <c r="AK34" s="3"/>
      <c r="AL34" s="3"/>
    </row>
    <row r="35" spans="1:38" x14ac:dyDescent="0.25">
      <c r="C35" s="19">
        <f t="shared" si="20"/>
        <v>4</v>
      </c>
      <c r="D35" s="161"/>
      <c r="E35" s="300">
        <v>0</v>
      </c>
      <c r="F35" s="266">
        <v>0</v>
      </c>
      <c r="G35" s="225">
        <v>0</v>
      </c>
      <c r="H35" s="328">
        <v>0</v>
      </c>
      <c r="I35" s="268">
        <f t="shared" si="21"/>
        <v>0</v>
      </c>
      <c r="N35" s="36"/>
      <c r="P35" s="3"/>
      <c r="Q35" s="3"/>
      <c r="R35" s="3"/>
      <c r="S35" s="3"/>
      <c r="T35" s="3"/>
      <c r="U35" s="3"/>
      <c r="AJ35" s="3"/>
      <c r="AK35" s="3"/>
      <c r="AL35" s="3"/>
    </row>
    <row r="36" spans="1:38" x14ac:dyDescent="0.25">
      <c r="A36" s="27"/>
      <c r="C36" s="143" t="s">
        <v>16</v>
      </c>
      <c r="D36" s="29"/>
      <c r="E36" s="30">
        <f>SUM(E32:E35)</f>
        <v>0</v>
      </c>
      <c r="F36" s="264"/>
      <c r="G36" s="44">
        <f>SUM(G32:G35)</f>
        <v>0</v>
      </c>
      <c r="H36" s="269">
        <f>AVERAGE(H32:H33)</f>
        <v>0</v>
      </c>
      <c r="I36" s="35">
        <f>SUM(I32:I35)</f>
        <v>0</v>
      </c>
      <c r="N36" s="36"/>
      <c r="P36" s="3"/>
      <c r="Q36" s="3"/>
      <c r="R36" s="3"/>
      <c r="S36" s="3"/>
      <c r="T36" s="3"/>
      <c r="U36" s="3"/>
      <c r="AD36" s="2"/>
      <c r="AE36" s="2"/>
      <c r="AF36" s="2"/>
      <c r="AG36" s="2"/>
      <c r="AH36" s="2"/>
      <c r="AI36" s="2"/>
    </row>
    <row r="37" spans="1:38" ht="6" customHeight="1" x14ac:dyDescent="0.25"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6"/>
      <c r="P37" s="3"/>
      <c r="Q37" s="3"/>
      <c r="R37" s="3"/>
      <c r="S37" s="3"/>
      <c r="T37" s="3"/>
    </row>
    <row r="38" spans="1:38" x14ac:dyDescent="0.25">
      <c r="C38" s="11" t="s">
        <v>212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6"/>
      <c r="P38" s="3"/>
    </row>
    <row r="39" spans="1:38" s="37" customFormat="1" ht="25.5" x14ac:dyDescent="0.25">
      <c r="C39" s="38" t="s">
        <v>17</v>
      </c>
      <c r="D39" s="14" t="s">
        <v>24</v>
      </c>
      <c r="E39" s="14" t="s">
        <v>13</v>
      </c>
      <c r="F39" s="14" t="s">
        <v>153</v>
      </c>
      <c r="G39" s="14" t="s">
        <v>210</v>
      </c>
      <c r="H39" s="14" t="s">
        <v>211</v>
      </c>
      <c r="I39" s="15" t="str">
        <f>H21</f>
        <v>YR 1 RENT</v>
      </c>
      <c r="J39" s="10"/>
      <c r="K39" s="10"/>
      <c r="L39" s="10"/>
      <c r="M39" s="10"/>
      <c r="N39" s="36"/>
      <c r="O39" s="10"/>
      <c r="P39" s="3"/>
      <c r="Q39" s="2"/>
      <c r="R39" s="2"/>
      <c r="S39" s="2"/>
      <c r="T39" s="2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8" x14ac:dyDescent="0.25">
      <c r="C40" s="16">
        <v>1</v>
      </c>
      <c r="D40" s="163" t="s">
        <v>214</v>
      </c>
      <c r="E40" s="175">
        <f>F40*G40</f>
        <v>0</v>
      </c>
      <c r="F40" s="204">
        <v>0</v>
      </c>
      <c r="G40" s="224">
        <v>0</v>
      </c>
      <c r="H40" s="197">
        <v>0</v>
      </c>
      <c r="I40" s="42">
        <f>H40*G40*365*0.66</f>
        <v>0</v>
      </c>
      <c r="J40" s="253"/>
      <c r="K40" s="10"/>
      <c r="L40" s="10"/>
      <c r="M40" s="10"/>
      <c r="N40" s="36"/>
      <c r="O40" s="10"/>
      <c r="P40" s="3"/>
      <c r="Q40" s="37"/>
      <c r="R40" s="37"/>
      <c r="S40" s="37"/>
      <c r="T40" s="37"/>
      <c r="V40" s="2"/>
      <c r="AJ40" s="3"/>
    </row>
    <row r="41" spans="1:38" x14ac:dyDescent="0.25">
      <c r="C41" s="19"/>
      <c r="D41" s="120"/>
      <c r="E41" s="121"/>
      <c r="F41" s="203"/>
      <c r="G41" s="225"/>
      <c r="H41" s="207"/>
      <c r="I41" s="43"/>
      <c r="J41" s="10"/>
      <c r="K41" s="10"/>
      <c r="L41" s="10"/>
      <c r="M41" s="10"/>
      <c r="N41" s="36"/>
      <c r="O41" s="10"/>
      <c r="P41" s="3"/>
      <c r="V41" s="2"/>
      <c r="AJ41" s="3"/>
    </row>
    <row r="42" spans="1:38" x14ac:dyDescent="0.25">
      <c r="A42" s="27"/>
      <c r="C42" s="58" t="s">
        <v>16</v>
      </c>
      <c r="D42" s="29"/>
      <c r="E42" s="30">
        <f>SUM(E40:E41)</f>
        <v>0</v>
      </c>
      <c r="F42" s="30"/>
      <c r="G42" s="44">
        <f>SUM(G40:G41)</f>
        <v>0</v>
      </c>
      <c r="H42" s="32"/>
      <c r="I42" s="35">
        <f>SUM(I40:I41)</f>
        <v>0</v>
      </c>
      <c r="J42" s="10"/>
      <c r="K42" s="10"/>
      <c r="L42" s="10"/>
      <c r="M42" s="10"/>
      <c r="N42" s="36"/>
      <c r="O42" s="10"/>
      <c r="P42" s="3"/>
      <c r="V42" s="2"/>
      <c r="AJ42" s="3"/>
    </row>
    <row r="43" spans="1:38" ht="6" customHeight="1" x14ac:dyDescent="0.25">
      <c r="C43" s="45"/>
      <c r="F43" s="46"/>
      <c r="N43" s="47"/>
    </row>
    <row r="44" spans="1:38" x14ac:dyDescent="0.25">
      <c r="C44" s="48" t="s">
        <v>29</v>
      </c>
      <c r="D44" s="49"/>
      <c r="E44" s="50">
        <f>E42+E28+E18+E36</f>
        <v>0</v>
      </c>
      <c r="F44" s="49"/>
      <c r="G44" s="51"/>
      <c r="H44" s="52">
        <f>I42+H28+H18+I36</f>
        <v>0</v>
      </c>
      <c r="I44" s="52"/>
      <c r="J44" s="52"/>
      <c r="K44" s="49"/>
      <c r="L44" s="52">
        <f>L28+L18</f>
        <v>0</v>
      </c>
      <c r="M44" s="49"/>
      <c r="N44" s="53">
        <f>N28+N18</f>
        <v>0</v>
      </c>
    </row>
    <row r="45" spans="1:38" x14ac:dyDescent="0.25">
      <c r="C45" s="54"/>
      <c r="D45" s="54"/>
      <c r="E45" s="55"/>
      <c r="F45" s="56"/>
      <c r="G45" s="54"/>
      <c r="H45" s="57"/>
      <c r="I45" s="57"/>
      <c r="J45" s="57"/>
      <c r="K45" s="54"/>
      <c r="L45" s="57"/>
      <c r="M45" s="54"/>
      <c r="N45" s="57"/>
    </row>
    <row r="47" spans="1:38" x14ac:dyDescent="0.25">
      <c r="C47" s="359" t="s">
        <v>49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1"/>
    </row>
    <row r="48" spans="1:38" ht="6" customHeight="1" x14ac:dyDescent="0.25"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6"/>
    </row>
    <row r="49" spans="3:14" x14ac:dyDescent="0.25">
      <c r="C49" s="11" t="str">
        <f>C10</f>
        <v>Retail / Entertainment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6"/>
    </row>
    <row r="50" spans="3:14" ht="25.5" x14ac:dyDescent="0.25">
      <c r="C50" s="365" t="s">
        <v>24</v>
      </c>
      <c r="D50" s="366"/>
      <c r="E50" s="366"/>
      <c r="F50" s="367"/>
      <c r="G50" s="14" t="s">
        <v>55</v>
      </c>
      <c r="H50" s="14" t="s">
        <v>53</v>
      </c>
      <c r="I50" s="14" t="s">
        <v>54</v>
      </c>
      <c r="J50" s="368" t="s">
        <v>64</v>
      </c>
      <c r="K50" s="369"/>
      <c r="L50" s="369"/>
      <c r="M50" s="369"/>
      <c r="N50" s="370"/>
    </row>
    <row r="51" spans="3:14" x14ac:dyDescent="0.25">
      <c r="C51" s="122" t="s">
        <v>63</v>
      </c>
      <c r="D51" s="60"/>
      <c r="E51" s="60"/>
      <c r="F51" s="61"/>
      <c r="G51" s="62"/>
      <c r="H51" s="63">
        <v>30</v>
      </c>
      <c r="I51" s="64">
        <f>SUMIF(J12:J17,$C$88,E12:E17)*H53</f>
        <v>0</v>
      </c>
      <c r="J51" s="377" t="s">
        <v>67</v>
      </c>
      <c r="K51" s="378"/>
      <c r="L51" s="378"/>
      <c r="M51" s="378"/>
      <c r="N51" s="379"/>
    </row>
    <row r="52" spans="3:14" x14ac:dyDescent="0.25">
      <c r="C52" s="122" t="s">
        <v>52</v>
      </c>
      <c r="D52" s="60"/>
      <c r="E52" s="60"/>
      <c r="F52" s="61"/>
      <c r="G52" s="65" t="e">
        <f>I52/($I$51+$H$18)</f>
        <v>#DIV/0!</v>
      </c>
      <c r="H52" s="63" t="e">
        <f>I52/$E$18</f>
        <v>#DIV/0!</v>
      </c>
      <c r="I52" s="226">
        <v>0</v>
      </c>
      <c r="J52" s="371"/>
      <c r="K52" s="372"/>
      <c r="L52" s="372"/>
      <c r="M52" s="372"/>
      <c r="N52" s="373"/>
    </row>
    <row r="53" spans="3:14" x14ac:dyDescent="0.25">
      <c r="C53" s="122" t="s">
        <v>50</v>
      </c>
      <c r="D53" s="60"/>
      <c r="E53" s="60"/>
      <c r="F53" s="61"/>
      <c r="G53" s="65" t="e">
        <f>I53/($I$51+$H$18)</f>
        <v>#DIV/0!</v>
      </c>
      <c r="H53" s="227">
        <v>10</v>
      </c>
      <c r="I53" s="64">
        <f>H53*$E$18</f>
        <v>0</v>
      </c>
      <c r="J53" s="371"/>
      <c r="K53" s="372"/>
      <c r="L53" s="372"/>
      <c r="M53" s="372"/>
      <c r="N53" s="373"/>
    </row>
    <row r="54" spans="3:14" x14ac:dyDescent="0.25">
      <c r="C54" s="123" t="s">
        <v>51</v>
      </c>
      <c r="D54" s="66"/>
      <c r="E54" s="66"/>
      <c r="F54" s="67"/>
      <c r="G54" s="68" t="e">
        <f>I54/($I$51+$H$18)</f>
        <v>#DIV/0!</v>
      </c>
      <c r="H54" s="228">
        <v>0.25</v>
      </c>
      <c r="I54" s="69">
        <f>H54*$E$18</f>
        <v>0</v>
      </c>
      <c r="J54" s="374"/>
      <c r="K54" s="375"/>
      <c r="L54" s="375"/>
      <c r="M54" s="375"/>
      <c r="N54" s="376"/>
    </row>
    <row r="55" spans="3:14" ht="6" customHeight="1" x14ac:dyDescent="0.25"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6"/>
    </row>
    <row r="56" spans="3:14" x14ac:dyDescent="0.25">
      <c r="C56" s="11" t="str">
        <f>C20</f>
        <v>Office/Industrial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6"/>
    </row>
    <row r="57" spans="3:14" ht="25.5" x14ac:dyDescent="0.25">
      <c r="C57" s="365" t="s">
        <v>24</v>
      </c>
      <c r="D57" s="366"/>
      <c r="E57" s="366"/>
      <c r="F57" s="367"/>
      <c r="G57" s="14" t="s">
        <v>55</v>
      </c>
      <c r="H57" s="14" t="s">
        <v>53</v>
      </c>
      <c r="I57" s="14" t="s">
        <v>54</v>
      </c>
      <c r="J57" s="368" t="str">
        <f>J50</f>
        <v>NOTES / ASSUMPTIONS</v>
      </c>
      <c r="K57" s="369"/>
      <c r="L57" s="369"/>
      <c r="M57" s="369"/>
      <c r="N57" s="370"/>
    </row>
    <row r="58" spans="3:14" x14ac:dyDescent="0.25">
      <c r="C58" s="122" t="s">
        <v>63</v>
      </c>
      <c r="D58" s="60"/>
      <c r="E58" s="60"/>
      <c r="F58" s="61"/>
      <c r="G58" s="62"/>
      <c r="H58" s="63" t="e">
        <f>I58/$E$28</f>
        <v>#DIV/0!</v>
      </c>
      <c r="I58" s="64">
        <f>SUMIF(J22:J27,$C$88,E22:E27)*H60</f>
        <v>0</v>
      </c>
      <c r="J58" s="377" t="s">
        <v>67</v>
      </c>
      <c r="K58" s="378"/>
      <c r="L58" s="378"/>
      <c r="M58" s="378"/>
      <c r="N58" s="379"/>
    </row>
    <row r="59" spans="3:14" x14ac:dyDescent="0.25">
      <c r="C59" s="122" t="s">
        <v>52</v>
      </c>
      <c r="D59" s="60"/>
      <c r="E59" s="60"/>
      <c r="F59" s="61"/>
      <c r="G59" s="65" t="e">
        <f>I59/($I$58+$H$28)</f>
        <v>#DIV/0!</v>
      </c>
      <c r="H59" s="63" t="e">
        <f>I59/$E$28</f>
        <v>#DIV/0!</v>
      </c>
      <c r="I59" s="226">
        <v>0</v>
      </c>
      <c r="J59" s="371"/>
      <c r="K59" s="372"/>
      <c r="L59" s="372"/>
      <c r="M59" s="372"/>
      <c r="N59" s="373"/>
    </row>
    <row r="60" spans="3:14" x14ac:dyDescent="0.25">
      <c r="C60" s="122" t="s">
        <v>50</v>
      </c>
      <c r="D60" s="60"/>
      <c r="E60" s="60"/>
      <c r="F60" s="61"/>
      <c r="G60" s="65" t="e">
        <f>I60/($I$58+$H$28)</f>
        <v>#DIV/0!</v>
      </c>
      <c r="H60" s="227">
        <v>10</v>
      </c>
      <c r="I60" s="64">
        <f>H60*$E$28</f>
        <v>0</v>
      </c>
      <c r="J60" s="371"/>
      <c r="K60" s="372"/>
      <c r="L60" s="372"/>
      <c r="M60" s="372"/>
      <c r="N60" s="373"/>
    </row>
    <row r="61" spans="3:14" x14ac:dyDescent="0.25">
      <c r="C61" s="123" t="s">
        <v>51</v>
      </c>
      <c r="D61" s="66"/>
      <c r="E61" s="66"/>
      <c r="F61" s="67"/>
      <c r="G61" s="68" t="e">
        <f>I61/($I$58+$H$28)</f>
        <v>#DIV/0!</v>
      </c>
      <c r="H61" s="228">
        <v>0.25</v>
      </c>
      <c r="I61" s="69">
        <f>H61*$E$28</f>
        <v>0</v>
      </c>
      <c r="J61" s="374"/>
      <c r="K61" s="375"/>
      <c r="L61" s="375"/>
      <c r="M61" s="375"/>
      <c r="N61" s="376"/>
    </row>
    <row r="62" spans="3:14" ht="6" customHeight="1" x14ac:dyDescent="0.25"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6"/>
    </row>
    <row r="63" spans="3:14" x14ac:dyDescent="0.25">
      <c r="C63" s="11" t="str">
        <f>C30</f>
        <v>Multi-Family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6"/>
    </row>
    <row r="64" spans="3:14" ht="25.5" x14ac:dyDescent="0.25">
      <c r="C64" s="365" t="s">
        <v>24</v>
      </c>
      <c r="D64" s="366"/>
      <c r="E64" s="366"/>
      <c r="F64" s="367"/>
      <c r="G64" s="14" t="s">
        <v>55</v>
      </c>
      <c r="H64" s="14" t="s">
        <v>224</v>
      </c>
      <c r="I64" s="14" t="s">
        <v>54</v>
      </c>
      <c r="J64" s="368" t="str">
        <f>J57</f>
        <v>NOTES / ASSUMPTIONS</v>
      </c>
      <c r="K64" s="369"/>
      <c r="L64" s="369"/>
      <c r="M64" s="369"/>
      <c r="N64" s="370"/>
    </row>
    <row r="65" spans="3:14" x14ac:dyDescent="0.25">
      <c r="C65" s="122" t="s">
        <v>52</v>
      </c>
      <c r="D65" s="60"/>
      <c r="E65" s="60"/>
      <c r="F65" s="61"/>
      <c r="G65" s="72"/>
      <c r="H65" s="73" t="e">
        <f>I65/$G$36</f>
        <v>#DIV/0!</v>
      </c>
      <c r="I65" s="229">
        <v>0</v>
      </c>
      <c r="J65" s="371"/>
      <c r="K65" s="372"/>
      <c r="L65" s="372"/>
      <c r="M65" s="372"/>
      <c r="N65" s="373"/>
    </row>
    <row r="66" spans="3:14" x14ac:dyDescent="0.25">
      <c r="C66" s="122" t="s">
        <v>50</v>
      </c>
      <c r="D66" s="60"/>
      <c r="E66" s="60"/>
      <c r="F66" s="61"/>
      <c r="G66" s="231">
        <v>0.45</v>
      </c>
      <c r="H66" s="250" t="e">
        <f>I66/$G$36</f>
        <v>#DIV/0!</v>
      </c>
      <c r="I66" s="64">
        <f>(I65+I36)*G66</f>
        <v>0</v>
      </c>
      <c r="J66" s="371"/>
      <c r="K66" s="372"/>
      <c r="L66" s="372"/>
      <c r="M66" s="372"/>
      <c r="N66" s="373"/>
    </row>
    <row r="67" spans="3:14" x14ac:dyDescent="0.25">
      <c r="C67" s="123" t="s">
        <v>51</v>
      </c>
      <c r="D67" s="66"/>
      <c r="E67" s="66"/>
      <c r="F67" s="67"/>
      <c r="G67" s="68" t="e">
        <f>I67/($I$65+$I$36)</f>
        <v>#DIV/0!</v>
      </c>
      <c r="H67" s="230">
        <v>225</v>
      </c>
      <c r="I67" s="69">
        <f>H67*G36</f>
        <v>0</v>
      </c>
      <c r="J67" s="374"/>
      <c r="K67" s="375"/>
      <c r="L67" s="375"/>
      <c r="M67" s="375"/>
      <c r="N67" s="376"/>
    </row>
    <row r="68" spans="3:14" ht="6" customHeight="1" x14ac:dyDescent="0.25"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6"/>
    </row>
    <row r="69" spans="3:14" x14ac:dyDescent="0.25">
      <c r="C69" s="11" t="str">
        <f>C38</f>
        <v>Hospitality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6"/>
    </row>
    <row r="70" spans="3:14" ht="25.5" x14ac:dyDescent="0.25">
      <c r="C70" s="365" t="s">
        <v>24</v>
      </c>
      <c r="D70" s="366"/>
      <c r="E70" s="366"/>
      <c r="F70" s="367"/>
      <c r="G70" s="14" t="s">
        <v>55</v>
      </c>
      <c r="H70" s="14" t="s">
        <v>215</v>
      </c>
      <c r="I70" s="14" t="s">
        <v>54</v>
      </c>
      <c r="J70" s="368" t="str">
        <f>J57</f>
        <v>NOTES / ASSUMPTIONS</v>
      </c>
      <c r="K70" s="369"/>
      <c r="L70" s="369"/>
      <c r="M70" s="369"/>
      <c r="N70" s="370"/>
    </row>
    <row r="71" spans="3:14" x14ac:dyDescent="0.25">
      <c r="C71" s="124" t="s">
        <v>52</v>
      </c>
      <c r="D71" s="70"/>
      <c r="E71" s="70"/>
      <c r="F71" s="71"/>
      <c r="G71" s="72"/>
      <c r="H71" s="73" t="e">
        <f>I71/$G$42</f>
        <v>#DIV/0!</v>
      </c>
      <c r="I71" s="229">
        <v>0</v>
      </c>
      <c r="J71" s="377"/>
      <c r="K71" s="378"/>
      <c r="L71" s="378"/>
      <c r="M71" s="378"/>
      <c r="N71" s="379"/>
    </row>
    <row r="72" spans="3:14" x14ac:dyDescent="0.25">
      <c r="C72" s="122" t="s">
        <v>62</v>
      </c>
      <c r="D72" s="60"/>
      <c r="E72" s="60"/>
      <c r="F72" s="61"/>
      <c r="G72" s="231">
        <v>0.5</v>
      </c>
      <c r="H72" s="250" t="e">
        <f>I72/$G$42</f>
        <v>#DIV/0!</v>
      </c>
      <c r="I72" s="64">
        <f>(I71+I42)*G72</f>
        <v>0</v>
      </c>
      <c r="J72" s="371"/>
      <c r="K72" s="372"/>
      <c r="L72" s="372"/>
      <c r="M72" s="372"/>
      <c r="N72" s="373"/>
    </row>
    <row r="73" spans="3:14" x14ac:dyDescent="0.25">
      <c r="C73" s="123" t="s">
        <v>51</v>
      </c>
      <c r="D73" s="66"/>
      <c r="E73" s="66"/>
      <c r="F73" s="67"/>
      <c r="G73" s="68" t="e">
        <f>I73/($I$71+$I$42)</f>
        <v>#DIV/0!</v>
      </c>
      <c r="H73" s="230">
        <v>225</v>
      </c>
      <c r="I73" s="69">
        <f>H73*G42</f>
        <v>0</v>
      </c>
      <c r="J73" s="374"/>
      <c r="K73" s="375"/>
      <c r="L73" s="375"/>
      <c r="M73" s="375"/>
      <c r="N73" s="376"/>
    </row>
    <row r="83" spans="3:4" x14ac:dyDescent="0.25">
      <c r="C83" s="74" t="s">
        <v>12</v>
      </c>
    </row>
    <row r="84" spans="3:4" x14ac:dyDescent="0.25">
      <c r="C84" s="75" t="s">
        <v>33</v>
      </c>
    </row>
    <row r="85" spans="3:4" x14ac:dyDescent="0.25">
      <c r="C85" s="76" t="s">
        <v>35</v>
      </c>
    </row>
    <row r="86" spans="3:4" x14ac:dyDescent="0.25">
      <c r="C86" s="77" t="s">
        <v>34</v>
      </c>
      <c r="D86" s="2" t="s">
        <v>37</v>
      </c>
    </row>
    <row r="87" spans="3:4" x14ac:dyDescent="0.25">
      <c r="C87" s="74" t="s">
        <v>12</v>
      </c>
    </row>
    <row r="88" spans="3:4" x14ac:dyDescent="0.25">
      <c r="C88" s="75" t="s">
        <v>41</v>
      </c>
      <c r="D88" s="2" t="s">
        <v>42</v>
      </c>
    </row>
    <row r="89" spans="3:4" x14ac:dyDescent="0.25">
      <c r="C89" s="77" t="s">
        <v>43</v>
      </c>
      <c r="D89" s="2" t="s">
        <v>44</v>
      </c>
    </row>
  </sheetData>
  <mergeCells count="26">
    <mergeCell ref="J73:N73"/>
    <mergeCell ref="J58:N58"/>
    <mergeCell ref="J59:N59"/>
    <mergeCell ref="J60:N60"/>
    <mergeCell ref="J61:N61"/>
    <mergeCell ref="J71:N71"/>
    <mergeCell ref="J72:N72"/>
    <mergeCell ref="J66:N66"/>
    <mergeCell ref="J67:N67"/>
    <mergeCell ref="J51:N51"/>
    <mergeCell ref="J52:N52"/>
    <mergeCell ref="C64:F64"/>
    <mergeCell ref="J64:N64"/>
    <mergeCell ref="C57:F57"/>
    <mergeCell ref="C70:F70"/>
    <mergeCell ref="J70:N70"/>
    <mergeCell ref="J57:N57"/>
    <mergeCell ref="J53:N53"/>
    <mergeCell ref="J54:N54"/>
    <mergeCell ref="J65:N65"/>
    <mergeCell ref="P11:T11"/>
    <mergeCell ref="P10:T10"/>
    <mergeCell ref="C8:N8"/>
    <mergeCell ref="C47:N47"/>
    <mergeCell ref="C50:F50"/>
    <mergeCell ref="J50:N50"/>
  </mergeCells>
  <dataValidations count="2">
    <dataValidation type="list" allowBlank="1" showInputMessage="1" showErrorMessage="1" sqref="I22:I27 I12:I17">
      <formula1>$C$84:$C$86</formula1>
    </dataValidation>
    <dataValidation type="list" allowBlank="1" showInputMessage="1" showErrorMessage="1" sqref="J12:J17 J22:J27">
      <formula1>$C$88:$C$89</formula1>
    </dataValidation>
  </dataValidations>
  <pageMargins left="0.28000000000000003" right="0.28000000000000003" top="0.5" bottom="0.5" header="0.3" footer="0.25"/>
  <pageSetup scale="71" orientation="portrait" r:id="rId1"/>
  <headerFooter>
    <oddFooter>&amp;L&amp;"Times New Roman,Regular"&amp;8&amp;A&amp;C&amp;"Times New Roman,Regular"&amp;8&amp;P of &amp;N&amp;R&amp;"Times New Roman,Regular"&amp;8&amp;D;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66"/>
  <sheetViews>
    <sheetView workbookViewId="0">
      <selection activeCell="F58" sqref="F58:G58"/>
    </sheetView>
  </sheetViews>
  <sheetFormatPr defaultRowHeight="12.75" x14ac:dyDescent="0.2"/>
  <cols>
    <col min="1" max="1" width="9.140625" style="7"/>
    <col min="2" max="2" width="2.42578125" style="7" customWidth="1"/>
    <col min="3" max="3" width="15.140625" style="7" customWidth="1"/>
    <col min="4" max="7" width="13.7109375" style="7" customWidth="1"/>
    <col min="8" max="8" width="1.5703125" style="7" customWidth="1"/>
    <col min="9" max="9" width="14.5703125" style="7" bestFit="1" customWidth="1"/>
    <col min="10" max="10" width="19.5703125" style="7" bestFit="1" customWidth="1"/>
    <col min="11" max="16384" width="9.140625" style="7"/>
  </cols>
  <sheetData>
    <row r="2" spans="3:23" s="2" customFormat="1" ht="15" x14ac:dyDescent="0.25">
      <c r="C2" s="1" t="s">
        <v>0</v>
      </c>
      <c r="D2" s="8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3:23" s="2" customFormat="1" ht="15" x14ac:dyDescent="0.25">
      <c r="C3" s="1" t="s">
        <v>2</v>
      </c>
      <c r="D3" s="8" t="str">
        <f>Cover_Page!D4</f>
        <v>Enter Team Name Here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3" s="2" customFormat="1" ht="15" x14ac:dyDescent="0.25">
      <c r="C4" s="1" t="s">
        <v>4</v>
      </c>
      <c r="D4" s="5">
        <f ca="1">TODAY()</f>
        <v>44608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3:23" s="2" customFormat="1" ht="15" x14ac:dyDescent="0.25">
      <c r="C5" s="1" t="s">
        <v>5</v>
      </c>
      <c r="D5" s="177">
        <f>Cover_Page!D6</f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3:23" s="2" customFormat="1" ht="15" x14ac:dyDescent="0.25">
      <c r="C6" s="1" t="s">
        <v>6</v>
      </c>
      <c r="D6" s="178">
        <f>Cover_Page!D7</f>
        <v>225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3:23" s="2" customFormat="1" x14ac:dyDescent="0.25"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3:23" s="2" customFormat="1" x14ac:dyDescent="0.2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3:23" s="2" customFormat="1" ht="15" customHeight="1" x14ac:dyDescent="0.25">
      <c r="C9" s="48" t="s">
        <v>176</v>
      </c>
      <c r="D9" s="91"/>
      <c r="E9" s="91"/>
      <c r="F9" s="232"/>
      <c r="G9" s="23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3:23" ht="6" customHeight="1" x14ac:dyDescent="0.2">
      <c r="C10" s="95"/>
      <c r="D10" s="96"/>
      <c r="E10" s="96"/>
      <c r="F10" s="96"/>
      <c r="G10" s="240"/>
    </row>
    <row r="11" spans="3:23" x14ac:dyDescent="0.2">
      <c r="C11" s="259" t="s">
        <v>177</v>
      </c>
      <c r="D11" s="260"/>
      <c r="E11" s="260"/>
      <c r="F11" s="303"/>
      <c r="G11" s="305">
        <f>Summary!G17</f>
        <v>49985100</v>
      </c>
      <c r="I11" s="248"/>
      <c r="J11" s="261" t="s">
        <v>220</v>
      </c>
    </row>
    <row r="12" spans="3:23" x14ac:dyDescent="0.2">
      <c r="C12" s="259" t="s">
        <v>178</v>
      </c>
      <c r="D12" s="260"/>
      <c r="E12" s="260"/>
      <c r="F12" s="303"/>
      <c r="G12" s="395" t="e">
        <f>G11/D5</f>
        <v>#DIV/0!</v>
      </c>
      <c r="I12" s="248"/>
    </row>
    <row r="13" spans="3:23" x14ac:dyDescent="0.2">
      <c r="C13" s="97" t="s">
        <v>179</v>
      </c>
      <c r="D13" s="96"/>
      <c r="E13" s="96"/>
      <c r="F13" s="295"/>
      <c r="G13" s="319" t="e">
        <f>(Summary!G13+Summary!G14)/'Financing Summary'!D5</f>
        <v>#DIV/0!</v>
      </c>
      <c r="I13" s="248"/>
    </row>
    <row r="14" spans="3:23" x14ac:dyDescent="0.2">
      <c r="C14" s="97"/>
      <c r="D14" s="96"/>
      <c r="E14" s="96"/>
      <c r="F14" s="295"/>
      <c r="G14" s="319"/>
    </row>
    <row r="15" spans="3:23" x14ac:dyDescent="0.2">
      <c r="C15" s="97" t="s">
        <v>180</v>
      </c>
      <c r="D15" s="96"/>
      <c r="E15" s="96"/>
      <c r="F15" s="295"/>
      <c r="G15" s="320">
        <f>Summary!G11</f>
        <v>49985100</v>
      </c>
    </row>
    <row r="16" spans="3:23" x14ac:dyDescent="0.2">
      <c r="C16" s="97" t="s">
        <v>181</v>
      </c>
      <c r="D16" s="96"/>
      <c r="E16" s="96"/>
      <c r="F16" s="295"/>
      <c r="G16" s="319">
        <f>G15/(D6*43560)</f>
        <v>5.0999999999999996</v>
      </c>
    </row>
    <row r="17" spans="3:9" x14ac:dyDescent="0.2">
      <c r="C17" s="243" t="s">
        <v>182</v>
      </c>
      <c r="D17" s="239"/>
      <c r="E17" s="239"/>
      <c r="F17" s="299"/>
      <c r="G17" s="396" t="e">
        <f>G15/D5</f>
        <v>#DIV/0!</v>
      </c>
    </row>
    <row r="18" spans="3:9" x14ac:dyDescent="0.2">
      <c r="C18" s="195"/>
      <c r="D18" s="114"/>
      <c r="E18" s="114"/>
      <c r="F18" s="242"/>
      <c r="G18" s="242"/>
    </row>
    <row r="19" spans="3:9" x14ac:dyDescent="0.2">
      <c r="C19" s="195"/>
      <c r="D19" s="114"/>
      <c r="E19" s="114"/>
      <c r="F19" s="242"/>
      <c r="G19" s="242"/>
    </row>
    <row r="20" spans="3:9" x14ac:dyDescent="0.2">
      <c r="C20" s="48" t="s">
        <v>189</v>
      </c>
      <c r="D20" s="91"/>
      <c r="E20" s="91"/>
      <c r="F20" s="232"/>
      <c r="G20" s="233"/>
    </row>
    <row r="21" spans="3:9" x14ac:dyDescent="0.2">
      <c r="C21" s="95"/>
      <c r="D21" s="96"/>
      <c r="E21" s="96"/>
      <c r="F21" s="241"/>
      <c r="G21" s="234"/>
    </row>
    <row r="22" spans="3:9" x14ac:dyDescent="0.2">
      <c r="C22" s="97" t="s">
        <v>190</v>
      </c>
      <c r="D22" s="96"/>
      <c r="E22" s="96"/>
      <c r="F22" s="295"/>
      <c r="G22" s="394" t="e">
        <f>G12*0.25</f>
        <v>#DIV/0!</v>
      </c>
    </row>
    <row r="23" spans="3:9" x14ac:dyDescent="0.2">
      <c r="C23" s="243" t="s">
        <v>191</v>
      </c>
      <c r="D23" s="239"/>
      <c r="E23" s="239"/>
      <c r="F23" s="299"/>
      <c r="G23" s="316">
        <v>0</v>
      </c>
    </row>
    <row r="24" spans="3:9" x14ac:dyDescent="0.2">
      <c r="C24" s="255" t="s">
        <v>192</v>
      </c>
      <c r="D24" s="256"/>
      <c r="E24" s="256"/>
      <c r="F24" s="301"/>
      <c r="G24" s="317" t="e">
        <f>SUM(G22:G23)</f>
        <v>#DIV/0!</v>
      </c>
    </row>
    <row r="25" spans="3:9" x14ac:dyDescent="0.2">
      <c r="C25" s="97"/>
      <c r="D25" s="96"/>
      <c r="E25" s="96"/>
      <c r="F25" s="295"/>
      <c r="G25" s="312"/>
    </row>
    <row r="26" spans="3:9" x14ac:dyDescent="0.2">
      <c r="C26" s="243" t="s">
        <v>193</v>
      </c>
      <c r="D26" s="239"/>
      <c r="E26" s="239"/>
      <c r="F26" s="299"/>
      <c r="G26" s="318" t="e">
        <f>G24/G11</f>
        <v>#DIV/0!</v>
      </c>
      <c r="I26" s="7" t="s">
        <v>209</v>
      </c>
    </row>
    <row r="27" spans="3:9" x14ac:dyDescent="0.2">
      <c r="C27" s="195"/>
      <c r="D27" s="114"/>
      <c r="E27" s="114"/>
      <c r="F27" s="242"/>
      <c r="G27" s="242"/>
    </row>
    <row r="28" spans="3:9" x14ac:dyDescent="0.2">
      <c r="F28" s="244"/>
      <c r="G28" s="244"/>
    </row>
    <row r="29" spans="3:9" x14ac:dyDescent="0.2">
      <c r="C29" s="48" t="s">
        <v>199</v>
      </c>
      <c r="D29" s="91"/>
      <c r="E29" s="91"/>
      <c r="F29" s="232"/>
      <c r="G29" s="233"/>
    </row>
    <row r="30" spans="3:9" ht="6" customHeight="1" x14ac:dyDescent="0.2">
      <c r="C30" s="95"/>
      <c r="D30" s="96"/>
      <c r="E30" s="96"/>
      <c r="F30" s="241"/>
      <c r="G30" s="234"/>
    </row>
    <row r="31" spans="3:9" x14ac:dyDescent="0.2">
      <c r="C31" s="259" t="s">
        <v>183</v>
      </c>
      <c r="D31" s="260"/>
      <c r="E31" s="260"/>
      <c r="F31" s="303"/>
      <c r="G31" s="305" t="e">
        <f>G33*G11</f>
        <v>#DIV/0!</v>
      </c>
    </row>
    <row r="32" spans="3:9" x14ac:dyDescent="0.2">
      <c r="C32" s="259" t="s">
        <v>184</v>
      </c>
      <c r="D32" s="260"/>
      <c r="E32" s="260"/>
      <c r="F32" s="303"/>
      <c r="G32" s="310" t="e">
        <f>G31/D5</f>
        <v>#DIV/0!</v>
      </c>
    </row>
    <row r="33" spans="3:7" x14ac:dyDescent="0.2">
      <c r="C33" s="259" t="s">
        <v>185</v>
      </c>
      <c r="D33" s="260"/>
      <c r="E33" s="260"/>
      <c r="F33" s="303"/>
      <c r="G33" s="311" t="e">
        <f>1-G26</f>
        <v>#DIV/0!</v>
      </c>
    </row>
    <row r="34" spans="3:7" x14ac:dyDescent="0.2">
      <c r="C34" s="97"/>
      <c r="D34" s="96"/>
      <c r="E34" s="96"/>
      <c r="F34" s="295"/>
      <c r="G34" s="312"/>
    </row>
    <row r="35" spans="3:7" x14ac:dyDescent="0.2">
      <c r="C35" s="97" t="s">
        <v>186</v>
      </c>
      <c r="D35" s="96"/>
      <c r="E35" s="96"/>
      <c r="F35" s="295"/>
      <c r="G35" s="313">
        <v>0.06</v>
      </c>
    </row>
    <row r="36" spans="3:7" x14ac:dyDescent="0.2">
      <c r="C36" s="97" t="s">
        <v>187</v>
      </c>
      <c r="D36" s="96"/>
      <c r="E36" s="96"/>
      <c r="F36" s="295"/>
      <c r="G36" s="314">
        <v>25</v>
      </c>
    </row>
    <row r="37" spans="3:7" x14ac:dyDescent="0.2">
      <c r="C37" s="257" t="s">
        <v>188</v>
      </c>
      <c r="D37" s="258"/>
      <c r="E37" s="258"/>
      <c r="F37" s="302"/>
      <c r="G37" s="315" t="e">
        <f>-G43/(PMT(G35/12,G36*12,G31)*12)</f>
        <v>#DIV/0!</v>
      </c>
    </row>
    <row r="38" spans="3:7" x14ac:dyDescent="0.2">
      <c r="F38" s="244"/>
      <c r="G38" s="244"/>
    </row>
    <row r="39" spans="3:7" x14ac:dyDescent="0.2">
      <c r="F39" s="244"/>
      <c r="G39" s="244"/>
    </row>
    <row r="40" spans="3:7" x14ac:dyDescent="0.2">
      <c r="C40" s="48" t="s">
        <v>171</v>
      </c>
      <c r="D40" s="91"/>
      <c r="E40" s="91"/>
      <c r="F40" s="232"/>
      <c r="G40" s="233"/>
    </row>
    <row r="41" spans="3:7" ht="6" customHeight="1" x14ac:dyDescent="0.2">
      <c r="C41" s="95"/>
      <c r="D41" s="96"/>
      <c r="E41" s="96"/>
      <c r="F41" s="241"/>
      <c r="G41" s="234"/>
    </row>
    <row r="42" spans="3:7" x14ac:dyDescent="0.2">
      <c r="C42" s="259" t="s">
        <v>172</v>
      </c>
      <c r="D42" s="260"/>
      <c r="E42" s="260"/>
      <c r="F42" s="303"/>
      <c r="G42" s="304">
        <f>Summary!E49</f>
        <v>0.1</v>
      </c>
    </row>
    <row r="43" spans="3:7" x14ac:dyDescent="0.2">
      <c r="C43" s="259" t="s">
        <v>173</v>
      </c>
      <c r="D43" s="260"/>
      <c r="E43" s="260"/>
      <c r="F43" s="303"/>
      <c r="G43" s="305">
        <f>(1-G42)*Summary!G46</f>
        <v>0</v>
      </c>
    </row>
    <row r="44" spans="3:7" x14ac:dyDescent="0.2">
      <c r="C44" s="259" t="s">
        <v>174</v>
      </c>
      <c r="D44" s="260"/>
      <c r="E44" s="260"/>
      <c r="F44" s="303"/>
      <c r="G44" s="306">
        <f>G43/G11</f>
        <v>0</v>
      </c>
    </row>
    <row r="45" spans="3:7" x14ac:dyDescent="0.2">
      <c r="C45" s="259" t="s">
        <v>175</v>
      </c>
      <c r="D45" s="260"/>
      <c r="E45" s="260"/>
      <c r="F45" s="303"/>
      <c r="G45" s="306" t="e">
        <f>G43/G31</f>
        <v>#DIV/0!</v>
      </c>
    </row>
    <row r="46" spans="3:7" x14ac:dyDescent="0.2">
      <c r="C46" s="97" t="s">
        <v>194</v>
      </c>
      <c r="D46" s="96"/>
      <c r="E46" s="96"/>
      <c r="F46" s="295"/>
      <c r="G46" s="307">
        <f>G43/G48</f>
        <v>0</v>
      </c>
    </row>
    <row r="47" spans="3:7" x14ac:dyDescent="0.2">
      <c r="C47" s="97" t="s">
        <v>195</v>
      </c>
      <c r="D47" s="96"/>
      <c r="E47" s="96"/>
      <c r="F47" s="295"/>
      <c r="G47" s="308" t="e">
        <f>G31/G46</f>
        <v>#DIV/0!</v>
      </c>
    </row>
    <row r="48" spans="3:7" x14ac:dyDescent="0.2">
      <c r="C48" s="243" t="s">
        <v>196</v>
      </c>
      <c r="D48" s="239"/>
      <c r="E48" s="239"/>
      <c r="F48" s="299"/>
      <c r="G48" s="309">
        <f>Summary!E52</f>
        <v>7.4999999999999997E-2</v>
      </c>
    </row>
    <row r="49" spans="3:7" x14ac:dyDescent="0.2">
      <c r="F49" s="244"/>
      <c r="G49" s="244"/>
    </row>
    <row r="50" spans="3:7" x14ac:dyDescent="0.2">
      <c r="F50" s="244"/>
      <c r="G50" s="244"/>
    </row>
    <row r="51" spans="3:7" x14ac:dyDescent="0.2">
      <c r="C51" s="48" t="s">
        <v>197</v>
      </c>
      <c r="D51" s="91"/>
      <c r="E51" s="91"/>
      <c r="F51" s="232"/>
      <c r="G51" s="233"/>
    </row>
    <row r="52" spans="3:7" ht="6" customHeight="1" x14ac:dyDescent="0.2">
      <c r="C52" s="95"/>
      <c r="D52" s="96"/>
      <c r="E52" s="96"/>
      <c r="F52" s="241"/>
      <c r="G52" s="234"/>
    </row>
    <row r="53" spans="3:7" x14ac:dyDescent="0.2">
      <c r="C53" s="97" t="s">
        <v>173</v>
      </c>
      <c r="D53" s="96"/>
      <c r="E53" s="96"/>
      <c r="F53" s="388">
        <f>G43</f>
        <v>0</v>
      </c>
      <c r="G53" s="389"/>
    </row>
    <row r="54" spans="3:7" x14ac:dyDescent="0.2">
      <c r="C54" s="97" t="s">
        <v>198</v>
      </c>
      <c r="D54" s="96"/>
      <c r="E54" s="96"/>
      <c r="F54" s="390">
        <v>1.25</v>
      </c>
      <c r="G54" s="391"/>
    </row>
    <row r="55" spans="3:7" x14ac:dyDescent="0.2">
      <c r="C55" s="97" t="s">
        <v>186</v>
      </c>
      <c r="D55" s="96"/>
      <c r="E55" s="96"/>
      <c r="F55" s="384">
        <v>0.06</v>
      </c>
      <c r="G55" s="385"/>
    </row>
    <row r="56" spans="3:7" x14ac:dyDescent="0.2">
      <c r="C56" s="97" t="s">
        <v>187</v>
      </c>
      <c r="D56" s="96"/>
      <c r="E56" s="96"/>
      <c r="F56" s="392">
        <v>25</v>
      </c>
      <c r="G56" s="393"/>
    </row>
    <row r="57" spans="3:7" x14ac:dyDescent="0.2">
      <c r="C57" s="97" t="s">
        <v>200</v>
      </c>
      <c r="D57" s="96"/>
      <c r="E57" s="96"/>
      <c r="F57" s="384">
        <f>-PMT(F55/12,F56*12,1)*12</f>
        <v>7.7316168178261022E-2</v>
      </c>
      <c r="G57" s="385"/>
    </row>
    <row r="58" spans="3:7" x14ac:dyDescent="0.2">
      <c r="C58" s="97" t="s">
        <v>201</v>
      </c>
      <c r="D58" s="96"/>
      <c r="E58" s="96"/>
      <c r="F58" s="384">
        <f>F57*F54</f>
        <v>9.664521022282628E-2</v>
      </c>
      <c r="G58" s="385"/>
    </row>
    <row r="59" spans="3:7" x14ac:dyDescent="0.2">
      <c r="C59" s="97"/>
      <c r="D59" s="96"/>
      <c r="E59" s="96"/>
      <c r="F59" s="386"/>
      <c r="G59" s="387"/>
    </row>
    <row r="60" spans="3:7" x14ac:dyDescent="0.2">
      <c r="C60" s="97" t="s">
        <v>202</v>
      </c>
      <c r="D60" s="96"/>
      <c r="E60" s="96"/>
      <c r="F60" s="382">
        <f>-PV(F55/12,F56*12,F53/F54/12)</f>
        <v>0</v>
      </c>
      <c r="G60" s="383"/>
    </row>
    <row r="61" spans="3:7" x14ac:dyDescent="0.2">
      <c r="C61" s="97"/>
      <c r="D61" s="96"/>
      <c r="E61" s="96"/>
      <c r="F61" s="386"/>
      <c r="G61" s="387"/>
    </row>
    <row r="62" spans="3:7" x14ac:dyDescent="0.2">
      <c r="C62" s="243" t="s">
        <v>203</v>
      </c>
      <c r="D62" s="239"/>
      <c r="E62" s="239"/>
      <c r="F62" s="380" t="e">
        <f>F60-G31</f>
        <v>#DIV/0!</v>
      </c>
      <c r="G62" s="381"/>
    </row>
    <row r="63" spans="3:7" x14ac:dyDescent="0.2">
      <c r="F63" s="244"/>
      <c r="G63" s="244"/>
    </row>
    <row r="66" ht="6" customHeight="1" x14ac:dyDescent="0.2"/>
  </sheetData>
  <mergeCells count="10">
    <mergeCell ref="F62:G62"/>
    <mergeCell ref="F60:G60"/>
    <mergeCell ref="F58:G58"/>
    <mergeCell ref="F59:G59"/>
    <mergeCell ref="F53:G53"/>
    <mergeCell ref="F54:G54"/>
    <mergeCell ref="F61:G61"/>
    <mergeCell ref="F56:G56"/>
    <mergeCell ref="F57:G57"/>
    <mergeCell ref="F55:G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Cover_Page</vt:lpstr>
      <vt:lpstr>Summary</vt:lpstr>
      <vt:lpstr>Project_Budget</vt:lpstr>
      <vt:lpstr>Market_Assumptions</vt:lpstr>
      <vt:lpstr>Financing Summary</vt:lpstr>
      <vt:lpstr>Cover_Page!Print_Area</vt:lpstr>
      <vt:lpstr>Instructions!Print_Area</vt:lpstr>
      <vt:lpstr>Market_Assumptions!Print_Area</vt:lpstr>
      <vt:lpstr>Project_Budget!Print_Area</vt:lpstr>
      <vt:lpstr>Summary!Print_Area</vt:lpstr>
    </vt:vector>
  </TitlesOfParts>
  <Company>Hillwood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TylerA</dc:creator>
  <cp:lastModifiedBy>Hibbs, Christian</cp:lastModifiedBy>
  <cp:lastPrinted>2016-05-10T14:12:24Z</cp:lastPrinted>
  <dcterms:created xsi:type="dcterms:W3CDTF">2016-05-09T20:24:04Z</dcterms:created>
  <dcterms:modified xsi:type="dcterms:W3CDTF">2022-02-16T15:48:49Z</dcterms:modified>
</cp:coreProperties>
</file>